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BE011\Downloads\"/>
    </mc:Choice>
  </mc:AlternateContent>
  <xr:revisionPtr revIDLastSave="0" documentId="8_{9CB65FD1-580A-4A0D-9794-1143E0F1A451}" xr6:coauthVersionLast="47" xr6:coauthVersionMax="47" xr10:uidLastSave="{00000000-0000-0000-0000-000000000000}"/>
  <bookViews>
    <workbookView xWindow="0" yWindow="1140" windowWidth="29052" windowHeight="15540" tabRatio="924" firstSheet="3" activeTab="3" xr2:uid="{00000000-000D-0000-FFFF-FFFF00000000}"/>
  </bookViews>
  <sheets>
    <sheet name="0000" sheetId="23" state="veryHidden" r:id="rId1"/>
    <sheet name="【　新聞折込広告基準　】" sheetId="24" r:id="rId2"/>
    <sheet name="エリア別部数" sheetId="21" r:id="rId3"/>
    <sheet name="提案表紙" sheetId="55" r:id="rId4"/>
    <sheet name="中央区・西区" sheetId="2" r:id="rId5"/>
    <sheet name="西淀川・淀川・東淀川" sheetId="3" r:id="rId6"/>
    <sheet name="北区・福島区" sheetId="5" r:id="rId7"/>
    <sheet name="都島区・旭区" sheetId="6" r:id="rId8"/>
    <sheet name="此花区・港区・大正区" sheetId="7" r:id="rId9"/>
    <sheet name="浪速区・阿倍野区・西成区" sheetId="8" r:id="rId10"/>
    <sheet name="天王寺・生野区・東成区" sheetId="10" r:id="rId11"/>
    <sheet name="城東区・鶴見区" sheetId="11" r:id="rId12"/>
    <sheet name="住吉区・東住吉区" sheetId="12" r:id="rId13"/>
    <sheet name="住之江区・平野区" sheetId="28" r:id="rId14"/>
    <sheet name="豊中市" sheetId="52" r:id="rId15"/>
    <sheet name="豊能郡・池田市・箕面市" sheetId="13" r:id="rId16"/>
    <sheet name="吹田市・茨木市" sheetId="14" r:id="rId17"/>
    <sheet name="高槻市・三島郡・摂津市" sheetId="29" r:id="rId18"/>
    <sheet name="枚方市" sheetId="53" r:id="rId19"/>
    <sheet name="寝屋川市・門真市" sheetId="30" r:id="rId20"/>
    <sheet name="守口市・交野市・四条畷市・大東市" sheetId="31" r:id="rId21"/>
    <sheet name="東大阪市" sheetId="33" r:id="rId22"/>
    <sheet name="八尾市・柏原市" sheetId="34" r:id="rId23"/>
    <sheet name="松原市・羽曳野市・藤井寺市" sheetId="35" r:id="rId24"/>
    <sheet name="富田林市・河内長野市・南河内郡・大阪狭山市" sheetId="36" r:id="rId25"/>
    <sheet name="堺区・中区" sheetId="38" r:id="rId26"/>
    <sheet name="東区・西区" sheetId="39" r:id="rId27"/>
    <sheet name="南区・北区・美原区" sheetId="41" r:id="rId28"/>
    <sheet name="泉大津市・高石市・泉北郡" sheetId="42" r:id="rId29"/>
    <sheet name="岸和田市・貝塚市" sheetId="43" r:id="rId30"/>
    <sheet name="泉佐野市・和泉市" sheetId="44" r:id="rId31"/>
    <sheet name="泉南市・阪南市・泉南郡" sheetId="45" r:id="rId32"/>
    <sheet name="日経(1)" sheetId="25" r:id="rId33"/>
    <sheet name="日経(2)" sheetId="47" r:id="rId34"/>
    <sheet name="日経(3)" sheetId="48" r:id="rId35"/>
    <sheet name="日経(4) " sheetId="49" r:id="rId36"/>
    <sheet name="日経(5) " sheetId="50" r:id="rId37"/>
    <sheet name="日経(6)" sheetId="51" r:id="rId38"/>
  </sheets>
  <definedNames>
    <definedName name="A茨木市折込部数">吹田市・茨木市!$F$36</definedName>
    <definedName name="A羽曳野市折込部数">松原市・羽曳野市・藤井寺市!$F$28</definedName>
    <definedName name="A河内永野市折込部数">富田林市・河内長野市・南河内郡・大阪狭山市!$F$28</definedName>
    <definedName name="A貝塚市折込部数">岸和田市・貝塚市!$F$34</definedName>
    <definedName name="A岸和田市折込部数">岸和田市・貝塚市!$F$24</definedName>
    <definedName name="A交野市折込部数">守口市・交野市・四条畷市・大東市!$F$26</definedName>
    <definedName name="A高石市折込部数">泉大津市・高石市・泉北郡!$F$26</definedName>
    <definedName name="A高槻市折込部数">高槻市・三島郡・摂津市!$F$24</definedName>
    <definedName name="A阪南市折込部数">泉南市・阪南市・泉南郡!$F$24</definedName>
    <definedName name="A堺区折込部数">堺区・中区!$F$21</definedName>
    <definedName name="A三島郡折込部数">高槻市・三島郡・摂津市!$F$29</definedName>
    <definedName name="A四条畷市折込部数">守口市・交野市・四条畷市・大東市!$F$32</definedName>
    <definedName name="A守口市折込部数">守口市・交野市・四条畷市・大東市!$F$19</definedName>
    <definedName name="A松原市折込部数">松原市・羽曳野市・藤井寺市!$F$19</definedName>
    <definedName name="A寝屋川市折込部数">寝屋川市・門真市!$F$24</definedName>
    <definedName name="A吹田市折込部数">吹田市・茨木市!$F$24</definedName>
    <definedName name="A西区折込部数">東区・西区!$F$31</definedName>
    <definedName name="A摂津市折込部数">高槻市・三島郡・摂津市!$F$37</definedName>
    <definedName name="A泉佐野市折込部数">泉佐野市・和泉市!$F$21</definedName>
    <definedName name="A泉大津市折込部数">泉大津市・高石市・泉北郡!$F$18</definedName>
    <definedName name="A泉南郡折込部数">泉南市・阪南市・泉南郡!$F$33</definedName>
    <definedName name="A泉南市折込部数">泉南市・阪南市・泉南郡!$F$18</definedName>
    <definedName name="A泉北郡折込部数">泉大津市・高石市・泉北郡!$F$31</definedName>
    <definedName name="A大阪狭山市折込部数">富田林市・河内長野市・南河内郡・大阪狭山市!$F$41</definedName>
    <definedName name="A大阪市阿倍野区折込部数">浪速区・阿倍野区・西成区!$F$26</definedName>
    <definedName name="A大阪市旭区折込部数">都島区・旭区!$F$34</definedName>
    <definedName name="A大阪市港区折込部数">此花区・港区・大正区!$F$27</definedName>
    <definedName name="A大阪市此花区折込部数">此花区・港区・大正区!$F$19</definedName>
    <definedName name="A大阪市住吉区折込部数">住吉区・東住吉区!$F$20</definedName>
    <definedName name="A大阪市住之江区折込部数">住之江区・平野区!$F$21</definedName>
    <definedName name="A大阪市城東区折込部数">城東区・鶴見区!$F$20</definedName>
    <definedName name="A大阪市生野区折込部数">天王寺・生野区・東成区!$F$29</definedName>
    <definedName name="A大阪市西区折込部数">中央区・西区!$F$36</definedName>
    <definedName name="A大阪市西成区折込部数">浪速区・阿倍野区・西成区!$F$35</definedName>
    <definedName name="A大阪市西淀川区折込部数">西淀川・淀川・東淀川!$F$18</definedName>
    <definedName name="A大阪市大正区折込部数">此花区・港区・大正区!$F$35</definedName>
    <definedName name="A大阪市中央区折込部数">中央区・西区!$F$24</definedName>
    <definedName name="A大阪市鶴見区折込部数">城東区・鶴見区!$F$32</definedName>
    <definedName name="A大阪市天王寺区折込部数">天王寺・生野区・東成区!$F$19</definedName>
    <definedName name="A大阪市都島区折込部数">都島区・旭区!$F$20</definedName>
    <definedName name="A大阪市東住吉区折込部数">住吉区・東住吉区!$F$30</definedName>
    <definedName name="A大阪市東成区折込部数">天王寺・生野区・東成区!$F$37</definedName>
    <definedName name="A大阪市東淀川区折込部数">西淀川・淀川・東淀川!$F$38</definedName>
    <definedName name="A大阪市福島区折込部数">北区・福島区!$F$36</definedName>
    <definedName name="A大阪市平野区折込部数">住之江区・平野区!$F$35</definedName>
    <definedName name="A大阪市豊中市折込部数">豊中市!$F$33</definedName>
    <definedName name="A大阪市北区折込部数">北区・福島区!$F$24</definedName>
    <definedName name="A大阪市淀川区折込部数">西淀川・淀川・東淀川!$F$28</definedName>
    <definedName name="A大阪市浪速区折込部数">浪速区・阿倍野区・西成区!$F$18</definedName>
    <definedName name="A大東市折込部数">守口市・交野市・四条畷市・大東市!$F$39</definedName>
    <definedName name="A池田市折込部数">豊能郡・池田市・箕面市!$F$25</definedName>
    <definedName name="A中区折込部数">堺区・中区!$F$31</definedName>
    <definedName name="A東区折込部数">東区・西区!$F$21</definedName>
    <definedName name="A東大阪市折込部数">東大阪市!$F$32</definedName>
    <definedName name="A藤井寺市折込部数">松原市・羽曳野市・藤井寺市!$F$35</definedName>
    <definedName name="A南河内郡折込部数">富田林市・河内長野市・南河内郡・大阪狭山市!$F$35</definedName>
    <definedName name="A南区折込部数">南区・北区・美原区!$F$20</definedName>
    <definedName name="A柏原市折込部数">八尾市・柏原市!$F$34</definedName>
    <definedName name="A八尾市折込部数">八尾市・柏原市!$F$28</definedName>
    <definedName name="A美原区折込部数">南区・北区・美原区!$F$36</definedName>
    <definedName name="A富田林市折込部数">富田林市・河内長野市・南河内郡・大阪狭山市!$F$18</definedName>
    <definedName name="A豊能郡折込部数">豊能郡・池田市・箕面市!$F$17</definedName>
    <definedName name="A北区折込部数">南区・北区・美原区!$F$31</definedName>
    <definedName name="A枚方市折込部数">枚方市!$F$35</definedName>
    <definedName name="A箕面市折込部数">豊能郡・池田市・箕面市!$F$36</definedName>
    <definedName name="A門真市折込部数">寝屋川市・門真市!$F$35</definedName>
    <definedName name="A和泉市折込部数">泉佐野市・和泉市!$F$31</definedName>
    <definedName name="G豊能郡折込部数">豊能郡・池田市・箕面市!$AD$17</definedName>
    <definedName name="G和泉市折込部数">泉佐野市・和泉市!$AD$31</definedName>
    <definedName name="M茨木市折込部数">吹田市・茨木市!$L$36</definedName>
    <definedName name="M羽曳野市折込部数">松原市・羽曳野市・藤井寺市!$L$28</definedName>
    <definedName name="M河内長野市折込部数">富田林市・河内長野市・南河内郡・大阪狭山市!$L$28</definedName>
    <definedName name="M貝塚市折込部数">岸和田市・貝塚市!$L$34</definedName>
    <definedName name="M岸和田市折込部数">岸和田市・貝塚市!$L$24</definedName>
    <definedName name="M交野市折込部数">守口市・交野市・四条畷市・大東市!$L$26</definedName>
    <definedName name="M高石市折込部数">泉大津市・高石市・泉北郡!$L$26</definedName>
    <definedName name="M高槻市折込部数">高槻市・三島郡・摂津市!$L$24</definedName>
    <definedName name="M阪南市折込部数">泉南市・阪南市・泉南郡!$L$24</definedName>
    <definedName name="M堺区折込部数">堺区・中区!$L$21</definedName>
    <definedName name="M三島郡折込部数">高槻市・三島郡・摂津市!$L$29</definedName>
    <definedName name="M四条畷市折込部数">守口市・交野市・四条畷市・大東市!$L$32</definedName>
    <definedName name="M守口市折込部数">守口市・交野市・四条畷市・大東市!$L$19</definedName>
    <definedName name="M松原市折込部数">松原市・羽曳野市・藤井寺市!$L$19</definedName>
    <definedName name="M寝屋川市折込部数">寝屋川市・門真市!$L$24</definedName>
    <definedName name="M吹田市折込部数">吹田市・茨木市!$L$24</definedName>
    <definedName name="M西区折込部数">東区・西区!$L$31</definedName>
    <definedName name="M摂津市折込部数">高槻市・三島郡・摂津市!$L$37</definedName>
    <definedName name="M泉佐野市折込部数">泉佐野市・和泉市!$L$21</definedName>
    <definedName name="M泉大津市折込部数">泉大津市・高石市・泉北郡!$L$18</definedName>
    <definedName name="M泉南郡折込部数">泉南市・阪南市・泉南郡!$L$33</definedName>
    <definedName name="M泉南市折込部数">泉南市・阪南市・泉南郡!$L$18</definedName>
    <definedName name="M泉北郡折込部数">泉大津市・高石市・泉北郡!$L$31</definedName>
    <definedName name="M大阪狭山市折込部数">富田林市・河内長野市・南河内郡・大阪狭山市!$L$41</definedName>
    <definedName name="M大阪市阿倍野区折込部数">浪速区・阿倍野区・西成区!$L$26</definedName>
    <definedName name="M大阪市旭区折込部数">都島区・旭区!$L$34</definedName>
    <definedName name="M大阪市港区折込部数">此花区・港区・大正区!$L$27</definedName>
    <definedName name="M大阪市此花区折込部数">此花区・港区・大正区!$L$19</definedName>
    <definedName name="M大阪市住吉区折込部数">住吉区・東住吉区!$L$20</definedName>
    <definedName name="M大阪市住之江区折込部数">住之江区・平野区!$L$21</definedName>
    <definedName name="M大阪市城東区折込部数">城東区・鶴見区!$L$20</definedName>
    <definedName name="M大阪市生野区折込部数">天王寺・生野区・東成区!$L$29</definedName>
    <definedName name="M大阪市西区折込部数">中央区・西区!$L$36</definedName>
    <definedName name="M大阪市西成区折込部数">浪速区・阿倍野区・西成区!$L$35</definedName>
    <definedName name="M大阪市西淀川区折込部数">西淀川・淀川・東淀川!$L$18</definedName>
    <definedName name="M大阪市大正区折込部数">此花区・港区・大正区!$L$35</definedName>
    <definedName name="M大阪市中央区折込部数">中央区・西区!$L$24</definedName>
    <definedName name="M大阪市鶴見区折込部数">城東区・鶴見区!$L$32</definedName>
    <definedName name="M大阪市天王寺区折込部数">天王寺・生野区・東成区!$L$19</definedName>
    <definedName name="M大阪市都島区折込部数">都島区・旭区!$L$20</definedName>
    <definedName name="M大阪市東住吉区折込部数">住吉区・東住吉区!$L$30</definedName>
    <definedName name="M大阪市東成区折込部数">天王寺・生野区・東成区!$L$37</definedName>
    <definedName name="M大阪市東淀川区折込部数">西淀川・淀川・東淀川!$L$38</definedName>
    <definedName name="M大阪市福島区折込部数">北区・福島区!$L$36</definedName>
    <definedName name="M大阪市平野区折込部数">住之江区・平野区!$L$35</definedName>
    <definedName name="M大阪市豊中市折込部数">豊中市!$L$33</definedName>
    <definedName name="M大阪市北区折込部数">北区・福島区!$L$24</definedName>
    <definedName name="M大阪市淀川区折込部数">西淀川・淀川・東淀川!$L$28</definedName>
    <definedName name="M大阪市浪速区折込部数">浪速区・阿倍野区・西成区!$L$18</definedName>
    <definedName name="M大東市折込部数">守口市・交野市・四条畷市・大東市!$L$39</definedName>
    <definedName name="M池田市折込部数">豊能郡・池田市・箕面市!$L$25</definedName>
    <definedName name="M中区折込部数">堺区・中区!$L$31</definedName>
    <definedName name="M東区折込部数">東区・西区!$L$21</definedName>
    <definedName name="M東大阪市折込部数">東大阪市!$L$32</definedName>
    <definedName name="M藤井寺市折込部数">松原市・羽曳野市・藤井寺市!$L$35</definedName>
    <definedName name="M南河内郡折込部数">富田林市・河内長野市・南河内郡・大阪狭山市!$L$35</definedName>
    <definedName name="M南区折込部数">南区・北区・美原区!$L$20</definedName>
    <definedName name="M柏原市折込部数">八尾市・柏原市!$L$34</definedName>
    <definedName name="M八尾市折込部数">八尾市・柏原市!$L$28</definedName>
    <definedName name="M美原区折込部数">南区・北区・美原区!$L$36</definedName>
    <definedName name="M富田林市折込部数">富田林市・河内長野市・南河内郡・大阪狭山市!$L$18</definedName>
    <definedName name="M豊能郡折込部数">豊能郡・池田市・箕面市!$L$17</definedName>
    <definedName name="M北区折込部数">南区・北区・美原区!$L$31</definedName>
    <definedName name="M枚方市折込部数">枚方市!$L$35</definedName>
    <definedName name="M箕面市折込部数">豊能郡・池田市・箕面市!$L$36</definedName>
    <definedName name="M門真市折込部数">寝屋川市・門真市!$L$35</definedName>
    <definedName name="M和泉市折込部数">泉佐野市・和泉市!$L$31</definedName>
    <definedName name="_xlnm.Print_Area" localSheetId="2">エリア別部数!$A$1:$Q$82</definedName>
    <definedName name="_xlnm.Print_Area" localSheetId="12">住吉区・東住吉区!$C$1:$AE$31</definedName>
    <definedName name="_xlnm.Print_Area" localSheetId="11">城東区・鶴見区!$C$2:$AE$33</definedName>
    <definedName name="_xlnm.Print_Area" localSheetId="16">吹田市・茨木市!$C$2:$AE$37</definedName>
    <definedName name="_xlnm.Print_Area" localSheetId="3">提案表紙!$A$1:$O$42</definedName>
    <definedName name="_xlnm.Print_Area" localSheetId="27">南区・北区・美原区!$A$1:$AE$37</definedName>
    <definedName name="_xlnm.Print_Area" localSheetId="14">豊中市!$C$1:$AE$34</definedName>
    <definedName name="_xlnm.Print_Titles" localSheetId="2">エリア別部数!$1:$3</definedName>
    <definedName name="S茨木市折込部数">吹田市・茨木市!$R$36</definedName>
    <definedName name="S羽曳野市折込部数">松原市・羽曳野市・藤井寺市!$R$28</definedName>
    <definedName name="S河内長野市折込部数">富田林市・河内長野市・南河内郡・大阪狭山市!$R$28</definedName>
    <definedName name="S貝塚市折込部数">岸和田市・貝塚市!$R$34</definedName>
    <definedName name="S岸和田市折込部数">岸和田市・貝塚市!$R$24</definedName>
    <definedName name="S交野市折込部数">守口市・交野市・四条畷市・大東市!$R$26</definedName>
    <definedName name="S高石市折込部数">泉大津市・高石市・泉北郡!$R$26</definedName>
    <definedName name="S高槻市折込部数">高槻市・三島郡・摂津市!$R$24</definedName>
    <definedName name="S阪南市折込部数">泉南市・阪南市・泉南郡!$R$24</definedName>
    <definedName name="S堺区折込部数">堺区・中区!$R$21</definedName>
    <definedName name="S三島郡折込部数">高槻市・三島郡・摂津市!$R$29</definedName>
    <definedName name="S四条畷市折込部数">守口市・交野市・四条畷市・大東市!$R$32</definedName>
    <definedName name="S守口市折込部数">守口市・交野市・四条畷市・大東市!$R$19</definedName>
    <definedName name="S松原市折込部数">松原市・羽曳野市・藤井寺市!$R$19</definedName>
    <definedName name="S寝屋川市折込部数">寝屋川市・門真市!$R$24</definedName>
    <definedName name="S吹田市折込部数">吹田市・茨木市!$R$24</definedName>
    <definedName name="S西区折込部数">東区・西区!$R$31</definedName>
    <definedName name="S摂津市折込部数">高槻市・三島郡・摂津市!$R$37</definedName>
    <definedName name="S泉佐野市折込部数">泉佐野市・和泉市!$R$21</definedName>
    <definedName name="S泉大津市折込部数">泉大津市・高石市・泉北郡!$R$18</definedName>
    <definedName name="S泉南郡折込部数">泉南市・阪南市・泉南郡!$R$33</definedName>
    <definedName name="S泉南市折込部数">泉南市・阪南市・泉南郡!$R$18</definedName>
    <definedName name="S泉北郡折込部数">泉大津市・高石市・泉北郡!$R$31</definedName>
    <definedName name="S大阪狭山市折込部数">富田林市・河内長野市・南河内郡・大阪狭山市!$R$41</definedName>
    <definedName name="S大阪市阿倍野区折込部数">浪速区・阿倍野区・西成区!$R$26</definedName>
    <definedName name="S大阪市旭区折込部数">都島区・旭区!$R$34</definedName>
    <definedName name="S大阪市港区折込部数">此花区・港区・大正区!$R$27</definedName>
    <definedName name="S大阪市此花区折込部数">此花区・港区・大正区!$R$19</definedName>
    <definedName name="S大阪市住吉区折込部数">住吉区・東住吉区!$R$20</definedName>
    <definedName name="S大阪市住之江区折込部数">住之江区・平野区!$R$21</definedName>
    <definedName name="S大阪市城東区折込部数">城東区・鶴見区!$R$20</definedName>
    <definedName name="S大阪市生野区折込部数">天王寺・生野区・東成区!$R$29</definedName>
    <definedName name="S大阪市西区折込部数">中央区・西区!$R$36</definedName>
    <definedName name="S大阪市西成区折込部数">浪速区・阿倍野区・西成区!$R$35</definedName>
    <definedName name="S大阪市西淀川区折込部数">西淀川・淀川・東淀川!$R$18</definedName>
    <definedName name="S大阪市大正区折込部数">此花区・港区・大正区!$R$35</definedName>
    <definedName name="S大阪市中央区折込部数">中央区・西区!$R$24</definedName>
    <definedName name="S大阪市鶴見区折込部数">城東区・鶴見区!$R$32</definedName>
    <definedName name="S大阪市天王寺区折込部数">天王寺・生野区・東成区!$R$19</definedName>
    <definedName name="S大阪市都島区折込部数">都島区・旭区!$R$20</definedName>
    <definedName name="S大阪市東住吉区折込部数">住吉区・東住吉区!$R$30</definedName>
    <definedName name="S大阪市東成区折込部数">天王寺・生野区・東成区!$R$37</definedName>
    <definedName name="S大阪市東淀川区折込部数">西淀川・淀川・東淀川!$R$38</definedName>
    <definedName name="S大阪市福島区折込部数">北区・福島区!$R$36</definedName>
    <definedName name="S大阪市平野区折込部数">住之江区・平野区!$R$35</definedName>
    <definedName name="S大阪市豊中市折込部数">豊中市!$R$33</definedName>
    <definedName name="S大阪市豊能郡折込部数">豊能郡・池田市・箕面市!$R$17</definedName>
    <definedName name="S大阪市北区折込部数">北区・福島区!$R$24</definedName>
    <definedName name="S大阪市淀川区折込部数">西淀川・淀川・東淀川!$R$28</definedName>
    <definedName name="S大阪市浪速区折込部数">浪速区・阿倍野区・西成区!$R$18</definedName>
    <definedName name="S大東市折込部数">守口市・交野市・四条畷市・大東市!$R$39</definedName>
    <definedName name="S池田市折込部数">豊能郡・池田市・箕面市!$R$25</definedName>
    <definedName name="S中区折込部数">堺区・中区!$R$31</definedName>
    <definedName name="S東区折込部数">東区・西区!$R$21</definedName>
    <definedName name="S東大阪市折込部数">東大阪市!$R$32</definedName>
    <definedName name="S藤井寺市折込部数">松原市・羽曳野市・藤井寺市!$R$35</definedName>
    <definedName name="S南河内郡折込部数">富田林市・河内長野市・南河内郡・大阪狭山市!$R$35</definedName>
    <definedName name="S南区折込部数">南区・北区・美原区!$R$20</definedName>
    <definedName name="S柏原市折込部数">八尾市・柏原市!$R$34</definedName>
    <definedName name="S八尾市折込部数">八尾市・柏原市!$R$28</definedName>
    <definedName name="S美原区折込部数">南区・北区・美原区!$R$36</definedName>
    <definedName name="S富田林市折込部数">富田林市・河内長野市・南河内郡・大阪狭山市!$R$18</definedName>
    <definedName name="S豊能郡折込部数">豊能郡・池田市・箕面市!$R$17</definedName>
    <definedName name="S北区折込部数">南区・北区・美原区!$R$31</definedName>
    <definedName name="S枚方市折込部数">枚方市!$R$35</definedName>
    <definedName name="S箕面市折込部数">豊能郡・池田市・箕面市!$R$36</definedName>
    <definedName name="S門真市折込部数">寝屋川市・門真市!$R$35</definedName>
    <definedName name="S和泉市折込部数">泉佐野市・和泉市!$R$31</definedName>
    <definedName name="Y茨木市折込部数">吹田市・茨木市!$X$36</definedName>
    <definedName name="Y羽曳野市折込部数">松原市・羽曳野市・藤井寺市!$X$28</definedName>
    <definedName name="Y河内長野市折込部数">富田林市・河内長野市・南河内郡・大阪狭山市!$X$28</definedName>
    <definedName name="Y貝塚市折込部数">岸和田市・貝塚市!$X$34</definedName>
    <definedName name="Y岸和田市折込部数">岸和田市・貝塚市!$X$24</definedName>
    <definedName name="Y交野市折込部数">守口市・交野市・四条畷市・大東市!$X$26</definedName>
    <definedName name="Y高石市折込部数">泉大津市・高石市・泉北郡!$X$26</definedName>
    <definedName name="Y高槻市折込部数">高槻市・三島郡・摂津市!$X$24</definedName>
    <definedName name="Y阪南市折込部数">泉南市・阪南市・泉南郡!$X$24</definedName>
    <definedName name="Y堺区折込部数">堺区・中区!$X$21</definedName>
    <definedName name="Y三島郡折込部数">高槻市・三島郡・摂津市!$X$29</definedName>
    <definedName name="Y四条畷市折込部数">守口市・交野市・四条畷市・大東市!$X$32</definedName>
    <definedName name="Y守口市折込部数">守口市・交野市・四条畷市・大東市!$X$19</definedName>
    <definedName name="Y松原市折込部数">松原市・羽曳野市・藤井寺市!$X$19</definedName>
    <definedName name="Y寝屋川市折込部数">寝屋川市・門真市!$X$24</definedName>
    <definedName name="Y吹田市折込部数">吹田市・茨木市!$X$24</definedName>
    <definedName name="Y西区折込部数">東区・西区!$X$31</definedName>
    <definedName name="Y摂津市折込部数">高槻市・三島郡・摂津市!$X$37</definedName>
    <definedName name="Y泉佐野市折込部数">泉佐野市・和泉市!$X$21</definedName>
    <definedName name="Y泉大津市折込部数">泉大津市・高石市・泉北郡!$X$18</definedName>
    <definedName name="Y泉南郡折込部数">泉南市・阪南市・泉南郡!$X$33</definedName>
    <definedName name="Y泉南市折込部数">泉南市・阪南市・泉南郡!$X$18</definedName>
    <definedName name="Y泉北郡折込部数">泉大津市・高石市・泉北郡!$X$31</definedName>
    <definedName name="Y大阪狭山市折込部数">富田林市・河内長野市・南河内郡・大阪狭山市!$X$41</definedName>
    <definedName name="Y大阪市阿倍野区折込部数">浪速区・阿倍野区・西成区!$X$26</definedName>
    <definedName name="Y大阪市旭区折込部数">都島区・旭区!$X$34</definedName>
    <definedName name="Y大阪市港区折込部数">此花区・港区・大正区!$X$27</definedName>
    <definedName name="Y大阪市此花区折込部数">此花区・港区・大正区!$X$19</definedName>
    <definedName name="Y大阪市住吉区折込部数">住吉区・東住吉区!$X$20</definedName>
    <definedName name="Y大阪市住之江区折込部数">住之江区・平野区!$X$21</definedName>
    <definedName name="Y大阪市生野区折込部数">天王寺・生野区・東成区!$X$29</definedName>
    <definedName name="Y大阪市西区折込部数">中央区・西区!$X$36</definedName>
    <definedName name="Y大阪市西成区折込部数">浪速区・阿倍野区・西成区!$X$35</definedName>
    <definedName name="Y大阪市西淀川区折込部数">西淀川・淀川・東淀川!$X$18</definedName>
    <definedName name="Y大阪市大正区折込部数">此花区・港区・大正区!$X$35</definedName>
    <definedName name="Y大阪市中央区折込部数">中央区・西区!$X$24</definedName>
    <definedName name="Y大阪市鶴見区折込部数">城東区・鶴見区!$X$32</definedName>
    <definedName name="Y大阪市天王寺区折込部数">天王寺・生野区・東成区!$X$19</definedName>
    <definedName name="Y大阪市都島区折込部数">都島区・旭区!$X$20</definedName>
    <definedName name="Y大阪市東住吉区折込部数">住吉区・東住吉区!$X$30</definedName>
    <definedName name="Y大阪市東成区折込部数">天王寺・生野区・東成区!$X$37</definedName>
    <definedName name="Y大阪市東淀川区折込部数">西淀川・淀川・東淀川!$X$38</definedName>
    <definedName name="Y大阪市福島区折込部数">北区・福島区!$X$36</definedName>
    <definedName name="Y大阪市平野区折込部数">住之江区・平野区!$X$35</definedName>
    <definedName name="Y大阪市豊中市折込部数">豊中市!$X$33</definedName>
    <definedName name="Y大阪市北区折込部数">北区・福島区!$X$24</definedName>
    <definedName name="Y大阪市淀川区折込部数">西淀川・淀川・東淀川!$X$28</definedName>
    <definedName name="Y大阪市浪速区折込部数">浪速区・阿倍野区・西成区!$X$18</definedName>
    <definedName name="Y大阪城東区折込部数">城東区・鶴見区!$X$20</definedName>
    <definedName name="Y大東市折込部数">守口市・交野市・四条畷市・大東市!$X$39</definedName>
    <definedName name="Y池田市折込部数">豊能郡・池田市・箕面市!$X$25</definedName>
    <definedName name="Y中区折込部数">堺区・中区!$X$31</definedName>
    <definedName name="Y東区折込部数">東区・西区!$X$21</definedName>
    <definedName name="Y東大阪市折込部数">東大阪市!$X$32</definedName>
    <definedName name="Y藤井寺市折込部数">松原市・羽曳野市・藤井寺市!$X$35</definedName>
    <definedName name="Y南河内郡折込部数">富田林市・河内長野市・南河内郡・大阪狭山市!$X$35</definedName>
    <definedName name="Y南区折込部数">南区・北区・美原区!$X$20</definedName>
    <definedName name="Y柏原市折込部数">八尾市・柏原市!$X$34</definedName>
    <definedName name="Y八尾市折込部数">八尾市・柏原市!$X$28</definedName>
    <definedName name="Y美原区折込部数">南区・北区・美原区!$X$36</definedName>
    <definedName name="Y富田林市折込部数">富田林市・河内長野市・南河内郡・大阪狭山市!$X$18</definedName>
    <definedName name="Y豊能郡折込部数">豊能郡・池田市・箕面市!$X$17</definedName>
    <definedName name="Y北区折込部数">南区・北区・美原区!$X$31</definedName>
    <definedName name="Y枚方市折込部数">枚方市!$X$35</definedName>
    <definedName name="Y箕面市折込部数">豊能郡・池田市・箕面市!$X$36</definedName>
    <definedName name="Y門真市折込部数">寝屋川市・門真市!$X$35</definedName>
    <definedName name="Y和泉市折込部数">泉佐野市・和泉市!$X$31</definedName>
    <definedName name="茨木市折込部数">吹田市・茨木市!$AE$37</definedName>
    <definedName name="茨木市部数">吹田市・茨木市!$AE$36</definedName>
    <definedName name="羽曳野市折込部数">松原市・羽曳野市・藤井寺市!$AE$29</definedName>
    <definedName name="羽曳野市部数">松原市・羽曳野市・藤井寺市!$AE$28</definedName>
    <definedName name="河内長野市折込部数">富田林市・河内長野市・南河内郡・大阪狭山市!$AE$29</definedName>
    <definedName name="河内長野部数">富田林市・河内長野市・南河内郡・大阪狭山市!$AE$28</definedName>
    <definedName name="貝塚市折込部数">岸和田市・貝塚市!$AE$35</definedName>
    <definedName name="貝塚市部数">岸和田市・貝塚市!$AE$34</definedName>
    <definedName name="岸和田市折込部数">岸和田市・貝塚市!$AE$25</definedName>
    <definedName name="岸和田市部数">岸和田市・貝塚市!$AE$24</definedName>
    <definedName name="交野市折込部数">守口市・交野市・四条畷市・大東市!$AE$27</definedName>
    <definedName name="交野市部数">守口市・交野市・四条畷市・大東市!$AE$26</definedName>
    <definedName name="高石市折込部数">泉大津市・高石市・泉北郡!$AE$27</definedName>
    <definedName name="高石市部数">泉大津市・高石市・泉北郡!$AE$26</definedName>
    <definedName name="高槻市折込部数">高槻市・三島郡・摂津市!$AE$25</definedName>
    <definedName name="高槻市部数">高槻市・三島郡・摂津市!$AE$24</definedName>
    <definedName name="阪南市折込部数">泉南市・阪南市・泉南郡!$AE$25</definedName>
    <definedName name="阪南市部数">泉南市・阪南市・泉南郡!$AE$24</definedName>
    <definedName name="堺区折込部数">堺区・中区!$AE$22</definedName>
    <definedName name="堺市部数">堺区・中区!$AE$21</definedName>
    <definedName name="三島郡折込部数">高槻市・三島郡・摂津市!$AE$30</definedName>
    <definedName name="三島郡部数">高槻市・三島郡・摂津市!$AE$29</definedName>
    <definedName name="四条畷市折込部数">守口市・交野市・四条畷市・大東市!$AE$33</definedName>
    <definedName name="四条畷市部数">守口市・交野市・四条畷市・大東市!$AE$32</definedName>
    <definedName name="守口市折込部数">守口市・交野市・四条畷市・大東市!$AE$20</definedName>
    <definedName name="守口市部数">守口市・交野市・四条畷市・大東市!$AE$19</definedName>
    <definedName name="松原市折込部数">松原市・羽曳野市・藤井寺市!$AE$20</definedName>
    <definedName name="松原市部数">松原市・羽曳野市・藤井寺市!$AE$19</definedName>
    <definedName name="寝屋川市折込部数">寝屋川市・門真市!$AE$25</definedName>
    <definedName name="寝屋川市部数">寝屋川市・門真市!$AE$24</definedName>
    <definedName name="吹田市折込部数">吹田市・茨木市!$AE$25</definedName>
    <definedName name="吹田市部数">吹田市・茨木市!$AE$24</definedName>
    <definedName name="西区折込部数">東区・西区!$AE$32</definedName>
    <definedName name="西区部数">東区・西区!$AE$31</definedName>
    <definedName name="摂津市折込部数">高槻市・三島郡・摂津市!$AE$38</definedName>
    <definedName name="摂津市部数">高槻市・三島郡・摂津市!$AE$37</definedName>
    <definedName name="泉佐野市折込部数">泉佐野市・和泉市!$AE$22</definedName>
    <definedName name="泉佐野市部数">泉佐野市・和泉市!$AE$21</definedName>
    <definedName name="泉大津市折込部数">泉大津市・高石市・泉北郡!$AE$19</definedName>
    <definedName name="泉大津市部数">泉大津市・高石市・泉北郡!$AE$18</definedName>
    <definedName name="泉南郡折込部数">泉南市・阪南市・泉南郡!$AE$34</definedName>
    <definedName name="泉南郡部数">泉南市・阪南市・泉南郡!$AE$33</definedName>
    <definedName name="泉南市折込部数">泉南市・阪南市・泉南郡!$AE$19</definedName>
    <definedName name="泉南市部数">泉南市・阪南市・泉南郡!$AE$18</definedName>
    <definedName name="泉北郡折込部数">泉大津市・高石市・泉北郡!$AE$32</definedName>
    <definedName name="泉北郡部数">泉大津市・高石市・泉北郡!$AE$31</definedName>
    <definedName name="大阪狭山市折込部数">富田林市・河内長野市・南河内郡・大阪狭山市!$AE$42</definedName>
    <definedName name="大阪狭山市部数">富田林市・河内長野市・南河内郡・大阪狭山市!$AE$41</definedName>
    <definedName name="大阪市阿倍野区折込部数">浪速区・阿倍野区・西成区!$AE$27</definedName>
    <definedName name="大阪市阿倍野区部数">浪速区・阿倍野区・西成区!$AE$26</definedName>
    <definedName name="大阪市旭区折込部数">都島区・旭区!$AE$35</definedName>
    <definedName name="大阪市旭区部数">都島区・旭区!$AE$34</definedName>
    <definedName name="大阪市港区折込部数">此花区・港区・大正区!$AE$28</definedName>
    <definedName name="大阪市港区部数">此花区・港区・大正区!$AE$27</definedName>
    <definedName name="大阪市此花区折込部数">此花区・港区・大正区!$AE$20</definedName>
    <definedName name="大阪市此花区部数">此花区・港区・大正区!$AE$19</definedName>
    <definedName name="大阪市住吉区折込部数">住吉区・東住吉区!$AE$21</definedName>
    <definedName name="大阪市住吉区部数">住吉区・東住吉区!$AE$20</definedName>
    <definedName name="大阪市住之江区折込部数">住之江区・平野区!$AE$22</definedName>
    <definedName name="大阪市住之江区部数">住之江区・平野区!$AE$21</definedName>
    <definedName name="大阪市城東区部数">城東区・鶴見区!$AE$20</definedName>
    <definedName name="大阪市城東折込部数">城東区・鶴見区!$AE$21</definedName>
    <definedName name="大阪市生野区折込部数">天王寺・生野区・東成区!$AE$30</definedName>
    <definedName name="大阪市生野区部数">天王寺・生野区・東成区!$AE$29</definedName>
    <definedName name="大阪市西区折込部数">中央区・西区!$AE$37</definedName>
    <definedName name="大阪市西区部数">中央区・西区!$AE$36</definedName>
    <definedName name="大阪市西成区折込部数">浪速区・阿倍野区・西成区!$AE$36</definedName>
    <definedName name="大阪市西成区部数">浪速区・阿倍野区・西成区!$AE$35</definedName>
    <definedName name="大阪市西淀川区折込部数">西淀川・淀川・東淀川!$AE$19</definedName>
    <definedName name="大阪市西淀川区部数">西淀川・淀川・東淀川!$AE$18</definedName>
    <definedName name="大阪市大正区折込部数">此花区・港区・大正区!$AE$36</definedName>
    <definedName name="大阪市大正区部数">此花区・港区・大正区!$AE$35</definedName>
    <definedName name="大阪市中央区折込部数">中央区・西区!$AE$25</definedName>
    <definedName name="大阪市中央区部数">中央区・西区!$AE$24</definedName>
    <definedName name="大阪市鶴見区折込部数">城東区・鶴見区!$AE$33</definedName>
    <definedName name="大阪市鶴見区部数">城東区・鶴見区!$AE$32</definedName>
    <definedName name="大阪市天王寺区折込部数">天王寺・生野区・東成区!$AE$20</definedName>
    <definedName name="大阪市天王寺区部数">天王寺・生野区・東成区!$AE$19</definedName>
    <definedName name="大阪市都島区折込部数">都島区・旭区!$AE$21</definedName>
    <definedName name="大阪市都島区部数">都島区・旭区!$AE$20</definedName>
    <definedName name="大阪市東住吉区折込部数">住吉区・東住吉区!$AE$31</definedName>
    <definedName name="大阪市東住吉区部数">住吉区・東住吉区!$AE$30</definedName>
    <definedName name="大阪市東成区折込部数">天王寺・生野区・東成区!$AE$38</definedName>
    <definedName name="大阪市東成区部数">天王寺・生野区・東成区!$AE$37</definedName>
    <definedName name="大阪市東淀川区折込部数">西淀川・淀川・東淀川!$AE$39</definedName>
    <definedName name="大阪市東淀川区部数">西淀川・淀川・東淀川!$AE$38</definedName>
    <definedName name="大阪市福島区折込部数">北区・福島区!$AE$37</definedName>
    <definedName name="大阪市福島区部数">北区・福島区!$AE$36</definedName>
    <definedName name="大阪市平野区折込部数">住之江区・平野区!$AE$36</definedName>
    <definedName name="大阪市平野区部数">住之江区・平野区!$AE$35</definedName>
    <definedName name="大阪市豊中市折込部数">豊中市!$AE$34</definedName>
    <definedName name="大阪市豊中市部数">豊中市!$AE$33</definedName>
    <definedName name="大阪市北区折込部数">北区・福島区!$AE$25</definedName>
    <definedName name="大阪市北区部数">北区・福島区!$AE$24</definedName>
    <definedName name="大阪市淀川区折込部数">西淀川・淀川・東淀川!$AE$29</definedName>
    <definedName name="大阪市淀川区部数">西淀川・淀川・東淀川!$AE$28</definedName>
    <definedName name="大阪市浪速区折込部数">浪速区・阿倍野区・西成区!$AE$19</definedName>
    <definedName name="大阪市浪速区部数">浪速区・阿倍野区・西成区!$AE$18</definedName>
    <definedName name="大東市折込部数">守口市・交野市・四条畷市・大東市!$AE$40</definedName>
    <definedName name="大東市部数">守口市・交野市・四条畷市・大東市!$AE$39</definedName>
    <definedName name="池田市折込部数">豊能郡・池田市・箕面市!$AE$26</definedName>
    <definedName name="池田市部数">豊能郡・池田市・箕面市!$AE$25</definedName>
    <definedName name="中区折込部数">堺区・中区!$AE$32</definedName>
    <definedName name="中区部数">堺区・中区!$AE$31</definedName>
    <definedName name="東区折込部数">東区・西区!$AE$22</definedName>
    <definedName name="東区部数">東区・西区!$AE$21</definedName>
    <definedName name="東大阪市折込部数">東大阪市!$AE$33</definedName>
    <definedName name="東大阪市部数">東大阪市!$AE$32</definedName>
    <definedName name="藤井寺市折込部数">松原市・羽曳野市・藤井寺市!$AE$36</definedName>
    <definedName name="藤井寺市部数">松原市・羽曳野市・藤井寺市!$AE$35</definedName>
    <definedName name="南河内郡折込部数">富田林市・河内長野市・南河内郡・大阪狭山市!$AE$36</definedName>
    <definedName name="南河内郡部数">富田林市・河内長野市・南河内郡・大阪狭山市!$AE$35</definedName>
    <definedName name="南区折込部数">南区・北区・美原区!$AE$21</definedName>
    <definedName name="南区部数">南区・北区・美原区!$AE$20</definedName>
    <definedName name="柏原市折込部数">八尾市・柏原市!$AE$35</definedName>
    <definedName name="柏原市部数">八尾市・柏原市!$AE$34</definedName>
    <definedName name="八尾市折込部数">八尾市・柏原市!$AE$29</definedName>
    <definedName name="八尾市部数">八尾市・柏原市!$AE$28</definedName>
    <definedName name="美原区折込部数">南区・北区・美原区!$AE$37</definedName>
    <definedName name="美原区部数">南区・北区・美原区!$AE$36</definedName>
    <definedName name="富田林市折込部数">富田林市・河内長野市・南河内郡・大阪狭山市!$AE$19</definedName>
    <definedName name="富田林市部数">富田林市・河内長野市・南河内郡・大阪狭山市!$AE$18</definedName>
    <definedName name="豊能郡折込部数">豊能郡・池田市・箕面市!$AE$18</definedName>
    <definedName name="豊能郡部数">豊能郡・池田市・箕面市!$AE$17</definedName>
    <definedName name="北区折込部数">南区・北区・美原区!$AE$32</definedName>
    <definedName name="北区部数">南区・北区・美原区!$AE$31</definedName>
    <definedName name="枚方市折込部数">枚方市!$AE$36</definedName>
    <definedName name="枚方市部数">枚方市!$AE$35</definedName>
    <definedName name="箕面市折込部数">豊能郡・池田市・箕面市!$AE$37</definedName>
    <definedName name="箕面市部数">豊能郡・池田市・箕面市!$AE$36</definedName>
    <definedName name="門真市折込部数">寝屋川市・門真市!$AE$36</definedName>
    <definedName name="門真市部数">寝屋川市・門真市!$AE$35</definedName>
    <definedName name="和泉市折込部数">泉佐野市・和泉市!$AE$32</definedName>
    <definedName name="和泉市部数">泉佐野市・和泉市!$AE$31</definedName>
  </definedNames>
  <calcPr calcId="191029"/>
</workbook>
</file>

<file path=xl/calcChain.xml><?xml version="1.0" encoding="utf-8"?>
<calcChain xmlns="http://schemas.openxmlformats.org/spreadsheetml/2006/main">
  <c r="X22" i="49" l="1"/>
  <c r="V22" i="49"/>
  <c r="R41" i="49"/>
  <c r="P41" i="49"/>
  <c r="AB21" i="49"/>
  <c r="AB27" i="49"/>
  <c r="AD40" i="49"/>
  <c r="AB40" i="49"/>
  <c r="X41" i="49"/>
  <c r="V41" i="49"/>
  <c r="L21" i="49"/>
  <c r="J21" i="49"/>
  <c r="X21" i="48"/>
  <c r="V21" i="48"/>
  <c r="X41" i="48"/>
  <c r="V41" i="48"/>
  <c r="L41" i="48"/>
  <c r="J41" i="48"/>
  <c r="J44" i="47"/>
  <c r="AE22" i="25"/>
  <c r="AC22" i="25"/>
  <c r="J18" i="36"/>
  <c r="V43" i="47"/>
  <c r="D33" i="48"/>
  <c r="F33" i="48"/>
  <c r="R22" i="47"/>
  <c r="P22" i="47"/>
  <c r="AB21" i="28" l="1"/>
  <c r="AD39" i="31"/>
  <c r="AB39" i="31"/>
  <c r="X39" i="31"/>
  <c r="V39" i="31"/>
  <c r="R39" i="31"/>
  <c r="P39" i="31"/>
  <c r="L39" i="31"/>
  <c r="J39" i="31"/>
  <c r="F39" i="31"/>
  <c r="D39" i="31"/>
  <c r="D18" i="8"/>
  <c r="D26" i="8"/>
  <c r="D35" i="8"/>
  <c r="L33" i="52" l="1"/>
  <c r="J33" i="52"/>
  <c r="F33" i="52"/>
  <c r="D33" i="52"/>
  <c r="X20" i="11"/>
  <c r="N82" i="21" l="1"/>
  <c r="P27" i="48" l="1"/>
  <c r="R27" i="48"/>
  <c r="F25" i="25" l="1"/>
  <c r="D25" i="25" l="1"/>
  <c r="K35" i="21" l="1"/>
  <c r="K39" i="21"/>
  <c r="J39" i="21"/>
  <c r="R16" i="48"/>
  <c r="K38" i="21" s="1"/>
  <c r="P16" i="48"/>
  <c r="J38" i="21" s="1"/>
  <c r="L20" i="48"/>
  <c r="J20" i="48"/>
  <c r="J35" i="21"/>
  <c r="J36" i="21" l="1"/>
  <c r="K36" i="21"/>
  <c r="J37" i="21"/>
  <c r="J41" i="49"/>
  <c r="L41" i="49"/>
  <c r="K48" i="21" l="1"/>
  <c r="L44" i="47"/>
  <c r="L35" i="47"/>
  <c r="K25" i="21" s="1"/>
  <c r="J35" i="47"/>
  <c r="J25" i="21" s="1"/>
  <c r="J48" i="21" l="1"/>
  <c r="AD39" i="47"/>
  <c r="D5" i="38" l="1"/>
  <c r="P24" i="2" l="1"/>
  <c r="R24" i="2"/>
  <c r="R19" i="50" l="1"/>
  <c r="P19" i="50"/>
  <c r="F32" i="33" l="1"/>
  <c r="D32" i="33"/>
  <c r="D5" i="52" l="1"/>
  <c r="Y20" i="25" l="1"/>
  <c r="AB39" i="47" l="1"/>
  <c r="AB25" i="47"/>
  <c r="AB20" i="47"/>
  <c r="X43" i="47"/>
  <c r="AD25" i="47"/>
  <c r="D5" i="2"/>
  <c r="D7" i="2"/>
  <c r="D7" i="6"/>
  <c r="D5" i="6"/>
  <c r="P7" i="51"/>
  <c r="P7" i="50"/>
  <c r="P7" i="49"/>
  <c r="P7" i="48"/>
  <c r="P7" i="47"/>
  <c r="Q7" i="25"/>
  <c r="P7" i="45"/>
  <c r="P7" i="44"/>
  <c r="P7" i="43"/>
  <c r="P7" i="42"/>
  <c r="P7" i="41"/>
  <c r="P7" i="39"/>
  <c r="P7" i="38"/>
  <c r="P7" i="36"/>
  <c r="P7" i="35"/>
  <c r="P7" i="34"/>
  <c r="P7" i="33"/>
  <c r="P7" i="31"/>
  <c r="P7" i="30"/>
  <c r="P7" i="53"/>
  <c r="P7" i="29"/>
  <c r="P7" i="14"/>
  <c r="P7" i="13"/>
  <c r="P7" i="52"/>
  <c r="P7" i="28"/>
  <c r="P7" i="12"/>
  <c r="P7" i="11"/>
  <c r="P7" i="10"/>
  <c r="P7" i="8"/>
  <c r="P7" i="7"/>
  <c r="P7" i="6"/>
  <c r="P7" i="5"/>
  <c r="P7" i="3"/>
  <c r="P5" i="51"/>
  <c r="P5" i="50"/>
  <c r="P5" i="49"/>
  <c r="P5" i="48"/>
  <c r="P5" i="47"/>
  <c r="Q5" i="25"/>
  <c r="P5" i="45"/>
  <c r="P5" i="44"/>
  <c r="P5" i="43"/>
  <c r="P5" i="42"/>
  <c r="P5" i="41"/>
  <c r="P5" i="39"/>
  <c r="P5" i="38"/>
  <c r="P5" i="36"/>
  <c r="P5" i="35"/>
  <c r="P5" i="34"/>
  <c r="P5" i="33"/>
  <c r="P5" i="31"/>
  <c r="P5" i="30"/>
  <c r="P5" i="53"/>
  <c r="P5" i="29"/>
  <c r="P5" i="14"/>
  <c r="P5" i="13"/>
  <c r="P5" i="52"/>
  <c r="P5" i="28"/>
  <c r="P5" i="12"/>
  <c r="P5" i="11"/>
  <c r="P5" i="10"/>
  <c r="P5" i="8"/>
  <c r="P5" i="7"/>
  <c r="P5" i="6"/>
  <c r="P5" i="5"/>
  <c r="P5" i="3"/>
  <c r="J34" i="21" l="1"/>
  <c r="K34" i="21"/>
  <c r="D7" i="51"/>
  <c r="D5" i="51"/>
  <c r="D7" i="50"/>
  <c r="D5" i="50"/>
  <c r="D7" i="49"/>
  <c r="D5" i="49"/>
  <c r="D7" i="48"/>
  <c r="D5" i="48"/>
  <c r="D7" i="47"/>
  <c r="D5" i="47"/>
  <c r="D7" i="25"/>
  <c r="D5" i="25"/>
  <c r="D7" i="45"/>
  <c r="D5" i="45"/>
  <c r="D7" i="44"/>
  <c r="D5" i="44"/>
  <c r="D7" i="43"/>
  <c r="D5" i="43"/>
  <c r="D7" i="42"/>
  <c r="D5" i="42"/>
  <c r="D7" i="41"/>
  <c r="D5" i="41"/>
  <c r="D7" i="39"/>
  <c r="D7" i="38"/>
  <c r="D7" i="36"/>
  <c r="D5" i="36"/>
  <c r="D7" i="35"/>
  <c r="D5" i="35"/>
  <c r="D7" i="34"/>
  <c r="D5" i="34"/>
  <c r="D7" i="33"/>
  <c r="D5" i="33"/>
  <c r="D7" i="31"/>
  <c r="D5" i="31"/>
  <c r="D7" i="30"/>
  <c r="D5" i="30"/>
  <c r="D7" i="53"/>
  <c r="D5" i="53"/>
  <c r="D7" i="29"/>
  <c r="D5" i="29"/>
  <c r="D7" i="14"/>
  <c r="D5" i="14"/>
  <c r="D7" i="13"/>
  <c r="D5" i="13"/>
  <c r="D7" i="52"/>
  <c r="D7" i="28"/>
  <c r="D5" i="28"/>
  <c r="D7" i="12"/>
  <c r="D5" i="12"/>
  <c r="D7" i="11"/>
  <c r="D5" i="11"/>
  <c r="D7" i="10"/>
  <c r="D5" i="10"/>
  <c r="D7" i="8"/>
  <c r="D5" i="8"/>
  <c r="D7" i="7"/>
  <c r="D5" i="7"/>
  <c r="D7" i="5"/>
  <c r="D5" i="5"/>
  <c r="D7" i="3"/>
  <c r="P5" i="2"/>
  <c r="P7" i="2"/>
  <c r="D32" i="25"/>
  <c r="J26" i="21"/>
  <c r="AB24" i="50"/>
  <c r="J75" i="21" s="1"/>
  <c r="AD24" i="50"/>
  <c r="K75" i="21" s="1"/>
  <c r="AD16" i="50"/>
  <c r="K74" i="21" s="1"/>
  <c r="AB16" i="50"/>
  <c r="J74" i="21" s="1"/>
  <c r="V41" i="50"/>
  <c r="J73" i="21" s="1"/>
  <c r="X41" i="50"/>
  <c r="K73" i="21" s="1"/>
  <c r="V29" i="50"/>
  <c r="J72" i="21" s="1"/>
  <c r="X29" i="50"/>
  <c r="K72" i="21" s="1"/>
  <c r="F42" i="25"/>
  <c r="J34" i="25"/>
  <c r="D42" i="25"/>
  <c r="J8" i="21" s="1"/>
  <c r="S34" i="25"/>
  <c r="Q27" i="25"/>
  <c r="J12" i="21" s="1"/>
  <c r="S27" i="25"/>
  <c r="J33" i="21"/>
  <c r="K31" i="21"/>
  <c r="K33" i="21"/>
  <c r="AD20" i="47"/>
  <c r="K32" i="21" s="1"/>
  <c r="J32" i="21"/>
  <c r="J31" i="21"/>
  <c r="R35" i="47"/>
  <c r="P35" i="47"/>
  <c r="J28" i="21" s="1"/>
  <c r="J27" i="21"/>
  <c r="K27" i="21"/>
  <c r="F41" i="49"/>
  <c r="X34" i="49"/>
  <c r="V34" i="49"/>
  <c r="D41" i="49"/>
  <c r="J47" i="21" s="1"/>
  <c r="R34" i="49"/>
  <c r="P34" i="49"/>
  <c r="AD27" i="49"/>
  <c r="F31" i="49"/>
  <c r="D31" i="49"/>
  <c r="AD21" i="49"/>
  <c r="F24" i="49"/>
  <c r="D24" i="49"/>
  <c r="J40" i="21" l="1"/>
  <c r="K28" i="21"/>
  <c r="K26" i="21"/>
  <c r="K8" i="21"/>
  <c r="K12" i="21"/>
  <c r="K47" i="21"/>
  <c r="J24" i="14"/>
  <c r="D35" i="21" s="1"/>
  <c r="F26" i="8"/>
  <c r="C18" i="21" s="1"/>
  <c r="B18" i="21"/>
  <c r="AD33" i="45"/>
  <c r="M79" i="21" s="1"/>
  <c r="X30" i="12"/>
  <c r="V30" i="12"/>
  <c r="H26" i="21" s="1"/>
  <c r="P30" i="12"/>
  <c r="F26" i="21" s="1"/>
  <c r="J30" i="12"/>
  <c r="D26" i="21" s="1"/>
  <c r="D30" i="12"/>
  <c r="B26" i="21" s="1"/>
  <c r="V20" i="12"/>
  <c r="H25" i="21" s="1"/>
  <c r="P20" i="12"/>
  <c r="F25" i="21" s="1"/>
  <c r="J20" i="12"/>
  <c r="D25" i="21" s="1"/>
  <c r="D20" i="12"/>
  <c r="B25" i="21" s="1"/>
  <c r="Q19" i="25"/>
  <c r="J11" i="21" s="1"/>
  <c r="S42" i="25"/>
  <c r="K14" i="21" s="1"/>
  <c r="S19" i="25"/>
  <c r="K11" i="21" s="1"/>
  <c r="AB25" i="48"/>
  <c r="V35" i="30"/>
  <c r="H44" i="21" s="1"/>
  <c r="V34" i="6"/>
  <c r="H13" i="21" s="1"/>
  <c r="O36" i="55"/>
  <c r="R18" i="42"/>
  <c r="G70" i="21" s="1"/>
  <c r="R20" i="41"/>
  <c r="G65" i="21" s="1"/>
  <c r="R28" i="34"/>
  <c r="L28" i="34"/>
  <c r="R26" i="31"/>
  <c r="G46" i="21" s="1"/>
  <c r="L24" i="29"/>
  <c r="E37" i="21" s="1"/>
  <c r="R24" i="29"/>
  <c r="G37" i="21" s="1"/>
  <c r="AB17" i="13"/>
  <c r="L32" i="21" s="1"/>
  <c r="L40" i="21" s="1"/>
  <c r="W20" i="25"/>
  <c r="J15" i="21" s="1"/>
  <c r="Q42" i="25"/>
  <c r="J14" i="21" s="1"/>
  <c r="Q34" i="25"/>
  <c r="J13" i="21" s="1"/>
  <c r="J42" i="25"/>
  <c r="J10" i="21" s="1"/>
  <c r="L42" i="25"/>
  <c r="K10" i="21" s="1"/>
  <c r="K13" i="21"/>
  <c r="J24" i="43"/>
  <c r="D73" i="21" s="1"/>
  <c r="P32" i="33"/>
  <c r="F49" i="21" s="1"/>
  <c r="AD25" i="48"/>
  <c r="R28" i="3"/>
  <c r="J36" i="50"/>
  <c r="J64" i="21" s="1"/>
  <c r="D24" i="2"/>
  <c r="B5" i="21" s="1"/>
  <c r="F24" i="2"/>
  <c r="L24" i="2"/>
  <c r="E5" i="21" s="1"/>
  <c r="X24" i="2"/>
  <c r="I5" i="21" s="1"/>
  <c r="F19" i="25"/>
  <c r="K5" i="21" s="1"/>
  <c r="F36" i="2"/>
  <c r="C6" i="21" s="1"/>
  <c r="L36" i="2"/>
  <c r="E6" i="21" s="1"/>
  <c r="R36" i="2"/>
  <c r="G6" i="21" s="1"/>
  <c r="X36" i="2"/>
  <c r="F18" i="3"/>
  <c r="L18" i="3"/>
  <c r="E7" i="21" s="1"/>
  <c r="R18" i="3"/>
  <c r="G7" i="21" s="1"/>
  <c r="X18" i="3"/>
  <c r="F32" i="25"/>
  <c r="F28" i="3"/>
  <c r="C8" i="21" s="1"/>
  <c r="L28" i="3"/>
  <c r="X28" i="3"/>
  <c r="I8" i="21" s="1"/>
  <c r="L34" i="25"/>
  <c r="K9" i="21" s="1"/>
  <c r="F38" i="3"/>
  <c r="C9" i="21" s="1"/>
  <c r="X38" i="3"/>
  <c r="I9" i="21" s="1"/>
  <c r="R38" i="3"/>
  <c r="L38" i="3"/>
  <c r="F24" i="5"/>
  <c r="C10" i="21" s="1"/>
  <c r="L24" i="5"/>
  <c r="E10" i="21" s="1"/>
  <c r="R24" i="5"/>
  <c r="X24" i="5"/>
  <c r="X36" i="5"/>
  <c r="I11" i="21" s="1"/>
  <c r="R36" i="5"/>
  <c r="G11" i="21" s="1"/>
  <c r="L36" i="5"/>
  <c r="E11" i="21" s="1"/>
  <c r="F36" i="5"/>
  <c r="C11" i="21" s="1"/>
  <c r="F20" i="6"/>
  <c r="C12" i="21" s="1"/>
  <c r="L20" i="6"/>
  <c r="R20" i="6"/>
  <c r="G12" i="21" s="1"/>
  <c r="X20" i="6"/>
  <c r="X34" i="6"/>
  <c r="I13" i="21" s="1"/>
  <c r="R34" i="6"/>
  <c r="G13" i="21" s="1"/>
  <c r="L34" i="6"/>
  <c r="E13" i="21" s="1"/>
  <c r="F34" i="6"/>
  <c r="C13" i="21" s="1"/>
  <c r="F19" i="7"/>
  <c r="C14" i="21" s="1"/>
  <c r="L19" i="7"/>
  <c r="E14" i="21" s="1"/>
  <c r="R19" i="7"/>
  <c r="G14" i="21" s="1"/>
  <c r="X19" i="7"/>
  <c r="I14" i="21" s="1"/>
  <c r="F27" i="7"/>
  <c r="L27" i="7"/>
  <c r="E15" i="21" s="1"/>
  <c r="R27" i="7"/>
  <c r="X27" i="7"/>
  <c r="F35" i="7"/>
  <c r="C16" i="21" s="1"/>
  <c r="L35" i="7"/>
  <c r="E16" i="21" s="1"/>
  <c r="R35" i="7"/>
  <c r="X35" i="7"/>
  <c r="Y29" i="25"/>
  <c r="K16" i="21" s="1"/>
  <c r="F18" i="8"/>
  <c r="C17" i="21" s="1"/>
  <c r="L18" i="8"/>
  <c r="R18" i="8"/>
  <c r="G17" i="21" s="1"/>
  <c r="X18" i="8"/>
  <c r="I17" i="21" s="1"/>
  <c r="Y35" i="25"/>
  <c r="K17" i="21" s="1"/>
  <c r="L26" i="8"/>
  <c r="R26" i="8"/>
  <c r="X26" i="8"/>
  <c r="I18" i="21" s="1"/>
  <c r="F35" i="8"/>
  <c r="C19" i="21" s="1"/>
  <c r="L35" i="8"/>
  <c r="R35" i="8"/>
  <c r="X35" i="8"/>
  <c r="I19" i="21" s="1"/>
  <c r="AD35" i="8"/>
  <c r="AE34" i="25"/>
  <c r="K19" i="21" s="1"/>
  <c r="F19" i="10"/>
  <c r="C20" i="21" s="1"/>
  <c r="L19" i="10"/>
  <c r="E20" i="21" s="1"/>
  <c r="R19" i="10"/>
  <c r="G20" i="21" s="1"/>
  <c r="X19" i="10"/>
  <c r="AE42" i="25"/>
  <c r="F29" i="10"/>
  <c r="C21" i="21" s="1"/>
  <c r="L29" i="10"/>
  <c r="E21" i="21" s="1"/>
  <c r="R29" i="10"/>
  <c r="X29" i="10"/>
  <c r="F24" i="47"/>
  <c r="F37" i="10"/>
  <c r="L37" i="10"/>
  <c r="E22" i="21" s="1"/>
  <c r="R37" i="10"/>
  <c r="G22" i="21" s="1"/>
  <c r="X37" i="10"/>
  <c r="I22" i="21" s="1"/>
  <c r="F31" i="47"/>
  <c r="F20" i="11"/>
  <c r="L20" i="11"/>
  <c r="R20" i="11"/>
  <c r="G23" i="21" s="1"/>
  <c r="I23" i="21"/>
  <c r="F39" i="47"/>
  <c r="K23" i="21" s="1"/>
  <c r="F32" i="11"/>
  <c r="L32" i="11"/>
  <c r="E24" i="21" s="1"/>
  <c r="R32" i="11"/>
  <c r="X32" i="11"/>
  <c r="I24" i="21" s="1"/>
  <c r="L20" i="47"/>
  <c r="K24" i="21" s="1"/>
  <c r="F20" i="12"/>
  <c r="L20" i="12"/>
  <c r="E25" i="21" s="1"/>
  <c r="R20" i="12"/>
  <c r="X20" i="12"/>
  <c r="F30" i="12"/>
  <c r="C26" i="21" s="1"/>
  <c r="L30" i="12"/>
  <c r="E26" i="21" s="1"/>
  <c r="R30" i="12"/>
  <c r="F21" i="28"/>
  <c r="C27" i="21" s="1"/>
  <c r="L21" i="28"/>
  <c r="E27" i="21" s="1"/>
  <c r="R21" i="28"/>
  <c r="X21" i="28"/>
  <c r="I27" i="21" s="1"/>
  <c r="X35" i="28"/>
  <c r="I28" i="21" s="1"/>
  <c r="R35" i="28"/>
  <c r="G28" i="21" s="1"/>
  <c r="L35" i="28"/>
  <c r="E28" i="21" s="1"/>
  <c r="F35" i="28"/>
  <c r="C31" i="21"/>
  <c r="E31" i="21"/>
  <c r="R33" i="52"/>
  <c r="G31" i="21" s="1"/>
  <c r="X33" i="52"/>
  <c r="I31" i="21" s="1"/>
  <c r="F17" i="13"/>
  <c r="R17" i="13"/>
  <c r="G32" i="21" s="1"/>
  <c r="X17" i="13"/>
  <c r="AD17" i="13"/>
  <c r="M32" i="21" s="1"/>
  <c r="M40" i="21" s="1"/>
  <c r="F25" i="13"/>
  <c r="C33" i="21" s="1"/>
  <c r="L25" i="13"/>
  <c r="E33" i="21" s="1"/>
  <c r="R25" i="13"/>
  <c r="X25" i="13"/>
  <c r="F36" i="13"/>
  <c r="L36" i="13"/>
  <c r="E34" i="21" s="1"/>
  <c r="R36" i="13"/>
  <c r="G34" i="21" s="1"/>
  <c r="X36" i="13"/>
  <c r="X24" i="14"/>
  <c r="R24" i="14"/>
  <c r="G35" i="21" s="1"/>
  <c r="L24" i="14"/>
  <c r="E35" i="21" s="1"/>
  <c r="F24" i="14"/>
  <c r="C35" i="21" s="1"/>
  <c r="X36" i="14"/>
  <c r="I36" i="21" s="1"/>
  <c r="R36" i="14"/>
  <c r="G36" i="21" s="1"/>
  <c r="L36" i="14"/>
  <c r="E36" i="21" s="1"/>
  <c r="F36" i="14"/>
  <c r="C36" i="21" s="1"/>
  <c r="F24" i="29"/>
  <c r="C37" i="21" s="1"/>
  <c r="X24" i="29"/>
  <c r="I37" i="21" s="1"/>
  <c r="F29" i="29"/>
  <c r="C38" i="21" s="1"/>
  <c r="L29" i="29"/>
  <c r="R29" i="29"/>
  <c r="X29" i="29"/>
  <c r="I38" i="21" s="1"/>
  <c r="F37" i="29"/>
  <c r="C39" i="21" s="1"/>
  <c r="L37" i="29"/>
  <c r="R37" i="29"/>
  <c r="G39" i="21" s="1"/>
  <c r="X37" i="29"/>
  <c r="I39" i="21" s="1"/>
  <c r="F35" i="53"/>
  <c r="C42" i="21" s="1"/>
  <c r="L35" i="53"/>
  <c r="E42" i="21" s="1"/>
  <c r="R35" i="53"/>
  <c r="X35" i="53"/>
  <c r="I42" i="21" s="1"/>
  <c r="F24" i="30"/>
  <c r="C43" i="21" s="1"/>
  <c r="L24" i="30"/>
  <c r="R24" i="30"/>
  <c r="X24" i="30"/>
  <c r="F35" i="30"/>
  <c r="L35" i="30"/>
  <c r="E44" i="21" s="1"/>
  <c r="R35" i="30"/>
  <c r="G44" i="21" s="1"/>
  <c r="X35" i="30"/>
  <c r="F19" i="31"/>
  <c r="L19" i="31"/>
  <c r="E45" i="21" s="1"/>
  <c r="R19" i="31"/>
  <c r="G45" i="21" s="1"/>
  <c r="X19" i="31"/>
  <c r="F26" i="31"/>
  <c r="C46" i="21" s="1"/>
  <c r="L26" i="31"/>
  <c r="E46" i="21" s="1"/>
  <c r="X26" i="31"/>
  <c r="X32" i="31"/>
  <c r="I47" i="21" s="1"/>
  <c r="R32" i="31"/>
  <c r="L32" i="31"/>
  <c r="E47" i="21" s="1"/>
  <c r="F32" i="31"/>
  <c r="C47" i="21" s="1"/>
  <c r="C48" i="21"/>
  <c r="I48" i="21"/>
  <c r="L32" i="33"/>
  <c r="E49" i="21" s="1"/>
  <c r="R32" i="33"/>
  <c r="G49" i="21" s="1"/>
  <c r="X32" i="33"/>
  <c r="I49" i="21" s="1"/>
  <c r="F28" i="34"/>
  <c r="X28" i="34"/>
  <c r="F34" i="34"/>
  <c r="C51" i="21" s="1"/>
  <c r="L34" i="34"/>
  <c r="E51" i="21" s="1"/>
  <c r="R34" i="34"/>
  <c r="G51" i="21" s="1"/>
  <c r="X34" i="34"/>
  <c r="F19" i="35"/>
  <c r="C52" i="21" s="1"/>
  <c r="L19" i="35"/>
  <c r="E52" i="21" s="1"/>
  <c r="R19" i="35"/>
  <c r="X19" i="35"/>
  <c r="I52" i="21" s="1"/>
  <c r="F28" i="35"/>
  <c r="C53" i="21" s="1"/>
  <c r="L28" i="35"/>
  <c r="E53" i="21" s="1"/>
  <c r="R28" i="35"/>
  <c r="G53" i="21" s="1"/>
  <c r="X28" i="35"/>
  <c r="I53" i="21" s="1"/>
  <c r="F35" i="35"/>
  <c r="C54" i="21" s="1"/>
  <c r="L35" i="35"/>
  <c r="E54" i="21" s="1"/>
  <c r="R35" i="35"/>
  <c r="G54" i="21" s="1"/>
  <c r="X35" i="35"/>
  <c r="I54" i="21" s="1"/>
  <c r="F18" i="36"/>
  <c r="L18" i="36"/>
  <c r="R18" i="36"/>
  <c r="G55" i="21" s="1"/>
  <c r="X18" i="36"/>
  <c r="I55" i="21" s="1"/>
  <c r="F28" i="36"/>
  <c r="C56" i="21" s="1"/>
  <c r="L28" i="36"/>
  <c r="R28" i="36"/>
  <c r="X28" i="36"/>
  <c r="I56" i="21" s="1"/>
  <c r="F35" i="36"/>
  <c r="C57" i="21" s="1"/>
  <c r="L35" i="36"/>
  <c r="E57" i="21" s="1"/>
  <c r="R35" i="36"/>
  <c r="G57" i="21" s="1"/>
  <c r="X35" i="36"/>
  <c r="I57" i="21" s="1"/>
  <c r="F41" i="36"/>
  <c r="L41" i="36"/>
  <c r="E58" i="21" s="1"/>
  <c r="R41" i="36"/>
  <c r="G58" i="21" s="1"/>
  <c r="X41" i="36"/>
  <c r="AD41" i="36"/>
  <c r="F18" i="50"/>
  <c r="K58" i="21" s="1"/>
  <c r="F21" i="38"/>
  <c r="L21" i="38"/>
  <c r="E61" i="21" s="1"/>
  <c r="R21" i="38"/>
  <c r="X21" i="38"/>
  <c r="I61" i="21" s="1"/>
  <c r="F33" i="50"/>
  <c r="K61" i="21" s="1"/>
  <c r="X31" i="38"/>
  <c r="I62" i="21" s="1"/>
  <c r="R31" i="38"/>
  <c r="L31" i="38"/>
  <c r="F31" i="38"/>
  <c r="F41" i="50"/>
  <c r="K62" i="21" s="1"/>
  <c r="F21" i="39"/>
  <c r="C63" i="21" s="1"/>
  <c r="L21" i="39"/>
  <c r="R21" i="39"/>
  <c r="X21" i="39"/>
  <c r="I63" i="21" s="1"/>
  <c r="L23" i="50"/>
  <c r="K63" i="21" s="1"/>
  <c r="F31" i="39"/>
  <c r="C64" i="21" s="1"/>
  <c r="L31" i="39"/>
  <c r="E64" i="21" s="1"/>
  <c r="R31" i="39"/>
  <c r="G64" i="21" s="1"/>
  <c r="X31" i="39"/>
  <c r="I64" i="21" s="1"/>
  <c r="L36" i="50"/>
  <c r="K64" i="21" s="1"/>
  <c r="F20" i="41"/>
  <c r="L20" i="41"/>
  <c r="E65" i="21" s="1"/>
  <c r="X20" i="41"/>
  <c r="I65" i="21" s="1"/>
  <c r="F31" i="41"/>
  <c r="C66" i="21" s="1"/>
  <c r="L31" i="41"/>
  <c r="E66" i="21" s="1"/>
  <c r="R31" i="41"/>
  <c r="G66" i="21" s="1"/>
  <c r="X31" i="41"/>
  <c r="I66" i="21" s="1"/>
  <c r="R34" i="50"/>
  <c r="K66" i="21" s="1"/>
  <c r="F36" i="41"/>
  <c r="C67" i="21" s="1"/>
  <c r="L36" i="41"/>
  <c r="E67" i="21" s="1"/>
  <c r="R36" i="41"/>
  <c r="G67" i="21" s="1"/>
  <c r="X36" i="41"/>
  <c r="R39" i="50"/>
  <c r="K67" i="21" s="1"/>
  <c r="F18" i="42"/>
  <c r="C70" i="21" s="1"/>
  <c r="L18" i="42"/>
  <c r="E70" i="21" s="1"/>
  <c r="X18" i="42"/>
  <c r="X18" i="50"/>
  <c r="K70" i="21" s="1"/>
  <c r="F26" i="42"/>
  <c r="C71" i="21" s="1"/>
  <c r="L26" i="42"/>
  <c r="R26" i="42"/>
  <c r="G71" i="21" s="1"/>
  <c r="X26" i="42"/>
  <c r="I71" i="21" s="1"/>
  <c r="X25" i="50"/>
  <c r="K71" i="21" s="1"/>
  <c r="F31" i="42"/>
  <c r="L31" i="42"/>
  <c r="R31" i="42"/>
  <c r="X31" i="42"/>
  <c r="I72" i="21" s="1"/>
  <c r="F24" i="43"/>
  <c r="C73" i="21" s="1"/>
  <c r="L24" i="43"/>
  <c r="E73" i="21" s="1"/>
  <c r="R24" i="43"/>
  <c r="G73" i="21" s="1"/>
  <c r="X24" i="43"/>
  <c r="I73" i="21" s="1"/>
  <c r="X34" i="43"/>
  <c r="R34" i="43"/>
  <c r="G74" i="21" s="1"/>
  <c r="L34" i="43"/>
  <c r="E74" i="21" s="1"/>
  <c r="F34" i="43"/>
  <c r="C74" i="21" s="1"/>
  <c r="F21" i="44"/>
  <c r="L21" i="44"/>
  <c r="E75" i="21" s="1"/>
  <c r="R21" i="44"/>
  <c r="X21" i="44"/>
  <c r="I75" i="21" s="1"/>
  <c r="F31" i="44"/>
  <c r="C76" i="21" s="1"/>
  <c r="L31" i="44"/>
  <c r="R31" i="44"/>
  <c r="X31" i="44"/>
  <c r="AD31" i="44"/>
  <c r="M76" i="21" s="1"/>
  <c r="F24" i="51"/>
  <c r="F18" i="45"/>
  <c r="C77" i="21" s="1"/>
  <c r="L18" i="45"/>
  <c r="R18" i="45"/>
  <c r="X18" i="45"/>
  <c r="F29" i="51"/>
  <c r="K77" i="21" s="1"/>
  <c r="F24" i="45"/>
  <c r="C78" i="21" s="1"/>
  <c r="L24" i="45"/>
  <c r="E78" i="21" s="1"/>
  <c r="R24" i="45"/>
  <c r="X24" i="45"/>
  <c r="L17" i="51"/>
  <c r="K78" i="21" s="1"/>
  <c r="F33" i="45"/>
  <c r="L33" i="45"/>
  <c r="E79" i="21" s="1"/>
  <c r="R33" i="45"/>
  <c r="G79" i="21" s="1"/>
  <c r="X33" i="45"/>
  <c r="I79" i="21" s="1"/>
  <c r="L24" i="51"/>
  <c r="F5" i="21"/>
  <c r="V24" i="2"/>
  <c r="H5" i="21" s="1"/>
  <c r="J24" i="2"/>
  <c r="D5" i="21" s="1"/>
  <c r="D19" i="25"/>
  <c r="J5" i="21" s="1"/>
  <c r="D36" i="2"/>
  <c r="B6" i="21" s="1"/>
  <c r="AB36" i="2"/>
  <c r="J36" i="2"/>
  <c r="D6" i="21" s="1"/>
  <c r="P36" i="2"/>
  <c r="F6" i="21" s="1"/>
  <c r="J6" i="21"/>
  <c r="D18" i="3"/>
  <c r="B7" i="21" s="1"/>
  <c r="J18" i="3"/>
  <c r="D7" i="21" s="1"/>
  <c r="P18" i="3"/>
  <c r="F7" i="21" s="1"/>
  <c r="D28" i="3"/>
  <c r="B8" i="21" s="1"/>
  <c r="J28" i="3"/>
  <c r="D8" i="21" s="1"/>
  <c r="V28" i="3"/>
  <c r="H8" i="21" s="1"/>
  <c r="P28" i="3"/>
  <c r="F8" i="21" s="1"/>
  <c r="D38" i="3"/>
  <c r="B9" i="21" s="1"/>
  <c r="V38" i="3"/>
  <c r="H9" i="21" s="1"/>
  <c r="J38" i="3"/>
  <c r="D9" i="21" s="1"/>
  <c r="P38" i="3"/>
  <c r="F9" i="21" s="1"/>
  <c r="D24" i="5"/>
  <c r="B10" i="21" s="1"/>
  <c r="J24" i="5"/>
  <c r="D10" i="21" s="1"/>
  <c r="P24" i="5"/>
  <c r="F10" i="21" s="1"/>
  <c r="V24" i="5"/>
  <c r="H10" i="21" s="1"/>
  <c r="J36" i="5"/>
  <c r="D11" i="21" s="1"/>
  <c r="P36" i="5"/>
  <c r="F11" i="21" s="1"/>
  <c r="V36" i="5"/>
  <c r="H11" i="21" s="1"/>
  <c r="D36" i="5"/>
  <c r="B11" i="21" s="1"/>
  <c r="D20" i="6"/>
  <c r="B12" i="21" s="1"/>
  <c r="V20" i="6"/>
  <c r="H12" i="21" s="1"/>
  <c r="P20" i="6"/>
  <c r="F12" i="21" s="1"/>
  <c r="J20" i="6"/>
  <c r="D12" i="21" s="1"/>
  <c r="D34" i="6"/>
  <c r="B13" i="21" s="1"/>
  <c r="P34" i="6"/>
  <c r="F13" i="21" s="1"/>
  <c r="J34" i="6"/>
  <c r="D13" i="21" s="1"/>
  <c r="J19" i="7"/>
  <c r="D14" i="21" s="1"/>
  <c r="V19" i="7"/>
  <c r="H14" i="21" s="1"/>
  <c r="D19" i="7"/>
  <c r="B14" i="21" s="1"/>
  <c r="P19" i="7"/>
  <c r="F14" i="21" s="1"/>
  <c r="AB19" i="7"/>
  <c r="D27" i="7"/>
  <c r="B15" i="21" s="1"/>
  <c r="V27" i="7"/>
  <c r="H15" i="21" s="1"/>
  <c r="P27" i="7"/>
  <c r="F15" i="21" s="1"/>
  <c r="D35" i="7"/>
  <c r="B16" i="21" s="1"/>
  <c r="J35" i="7"/>
  <c r="D16" i="21" s="1"/>
  <c r="V35" i="7"/>
  <c r="H16" i="21" s="1"/>
  <c r="P35" i="7"/>
  <c r="F16" i="21" s="1"/>
  <c r="W29" i="25"/>
  <c r="J16" i="21" s="1"/>
  <c r="V18" i="8"/>
  <c r="H17" i="21" s="1"/>
  <c r="J18" i="8"/>
  <c r="D17" i="21" s="1"/>
  <c r="P18" i="8"/>
  <c r="F17" i="21" s="1"/>
  <c r="W35" i="25"/>
  <c r="J17" i="21" s="1"/>
  <c r="P26" i="8"/>
  <c r="F18" i="21" s="1"/>
  <c r="V26" i="8"/>
  <c r="H18" i="21" s="1"/>
  <c r="J26" i="8"/>
  <c r="D18" i="21" s="1"/>
  <c r="J18" i="21"/>
  <c r="AC34" i="25"/>
  <c r="J19" i="21" s="1"/>
  <c r="J35" i="8"/>
  <c r="D19" i="21" s="1"/>
  <c r="B19" i="21"/>
  <c r="P35" i="8"/>
  <c r="F19" i="21" s="1"/>
  <c r="AC42" i="25"/>
  <c r="J20" i="21" s="1"/>
  <c r="J19" i="10"/>
  <c r="D20" i="21" s="1"/>
  <c r="P19" i="10"/>
  <c r="F20" i="21" s="1"/>
  <c r="D29" i="10"/>
  <c r="B21" i="21" s="1"/>
  <c r="J29" i="10"/>
  <c r="D21" i="21" s="1"/>
  <c r="P29" i="10"/>
  <c r="F21" i="21" s="1"/>
  <c r="V29" i="10"/>
  <c r="H21" i="21" s="1"/>
  <c r="D24" i="47"/>
  <c r="P37" i="10"/>
  <c r="F22" i="21" s="1"/>
  <c r="D37" i="10"/>
  <c r="B22" i="21" s="1"/>
  <c r="J37" i="10"/>
  <c r="D22" i="21" s="1"/>
  <c r="D31" i="47"/>
  <c r="J22" i="21" s="1"/>
  <c r="D20" i="11"/>
  <c r="B23" i="21" s="1"/>
  <c r="P20" i="11"/>
  <c r="F23" i="21" s="1"/>
  <c r="V20" i="11"/>
  <c r="H23" i="21" s="1"/>
  <c r="J20" i="11"/>
  <c r="D23" i="21" s="1"/>
  <c r="D39" i="47"/>
  <c r="J23" i="21" s="1"/>
  <c r="D32" i="11"/>
  <c r="B24" i="21" s="1"/>
  <c r="P32" i="11"/>
  <c r="F24" i="21" s="1"/>
  <c r="V32" i="11"/>
  <c r="J32" i="11"/>
  <c r="D24" i="21" s="1"/>
  <c r="J20" i="47"/>
  <c r="P21" i="28"/>
  <c r="F27" i="21" s="1"/>
  <c r="V21" i="28"/>
  <c r="H27" i="21" s="1"/>
  <c r="D35" i="28"/>
  <c r="B28" i="21" s="1"/>
  <c r="J35" i="28"/>
  <c r="D28" i="21" s="1"/>
  <c r="P35" i="28"/>
  <c r="F28" i="21" s="1"/>
  <c r="V35" i="28"/>
  <c r="H28" i="21" s="1"/>
  <c r="V33" i="52"/>
  <c r="H31" i="21" s="1"/>
  <c r="P33" i="52"/>
  <c r="F31" i="21" s="1"/>
  <c r="B31" i="21"/>
  <c r="D31" i="21"/>
  <c r="D17" i="13"/>
  <c r="B32" i="21" s="1"/>
  <c r="V17" i="13"/>
  <c r="H32" i="21" s="1"/>
  <c r="P17" i="13"/>
  <c r="F32" i="21" s="1"/>
  <c r="J17" i="13"/>
  <c r="D32" i="21" s="1"/>
  <c r="J25" i="13"/>
  <c r="D33" i="21" s="1"/>
  <c r="P25" i="13"/>
  <c r="F33" i="21" s="1"/>
  <c r="D25" i="13"/>
  <c r="B33" i="21" s="1"/>
  <c r="V25" i="13"/>
  <c r="H33" i="21" s="1"/>
  <c r="D36" i="13"/>
  <c r="B34" i="21" s="1"/>
  <c r="P36" i="13"/>
  <c r="F34" i="21" s="1"/>
  <c r="V36" i="13"/>
  <c r="H34" i="21" s="1"/>
  <c r="J36" i="13"/>
  <c r="D34" i="21" s="1"/>
  <c r="D24" i="14"/>
  <c r="B35" i="21" s="1"/>
  <c r="P24" i="14"/>
  <c r="F35" i="21" s="1"/>
  <c r="V24" i="14"/>
  <c r="H35" i="21" s="1"/>
  <c r="AB24" i="14"/>
  <c r="D36" i="14"/>
  <c r="B36" i="21" s="1"/>
  <c r="P36" i="14"/>
  <c r="F36" i="21" s="1"/>
  <c r="V36" i="14"/>
  <c r="H36" i="21" s="1"/>
  <c r="AB36" i="14"/>
  <c r="J36" i="14"/>
  <c r="D36" i="21" s="1"/>
  <c r="D24" i="29"/>
  <c r="B37" i="21" s="1"/>
  <c r="P24" i="29"/>
  <c r="F37" i="21" s="1"/>
  <c r="V24" i="29"/>
  <c r="H37" i="21" s="1"/>
  <c r="J24" i="29"/>
  <c r="D37" i="21" s="1"/>
  <c r="V29" i="29"/>
  <c r="H38" i="21" s="1"/>
  <c r="D29" i="29"/>
  <c r="B38" i="21" s="1"/>
  <c r="J29" i="29"/>
  <c r="D38" i="21" s="1"/>
  <c r="P29" i="29"/>
  <c r="F38" i="21" s="1"/>
  <c r="D37" i="29"/>
  <c r="B39" i="21" s="1"/>
  <c r="P37" i="29"/>
  <c r="F39" i="21" s="1"/>
  <c r="V37" i="29"/>
  <c r="H39" i="21" s="1"/>
  <c r="J37" i="29"/>
  <c r="D39" i="21" s="1"/>
  <c r="D35" i="53"/>
  <c r="B42" i="21" s="1"/>
  <c r="P35" i="53"/>
  <c r="F42" i="21" s="1"/>
  <c r="V35" i="53"/>
  <c r="H42" i="21" s="1"/>
  <c r="J35" i="53"/>
  <c r="D42" i="21" s="1"/>
  <c r="V24" i="30"/>
  <c r="H43" i="21" s="1"/>
  <c r="D24" i="30"/>
  <c r="B43" i="21" s="1"/>
  <c r="P24" i="30"/>
  <c r="F43" i="21" s="1"/>
  <c r="J24" i="30"/>
  <c r="D43" i="21" s="1"/>
  <c r="D35" i="30"/>
  <c r="B44" i="21" s="1"/>
  <c r="P35" i="30"/>
  <c r="F44" i="21" s="1"/>
  <c r="J35" i="30"/>
  <c r="D44" i="21" s="1"/>
  <c r="D19" i="31"/>
  <c r="B45" i="21" s="1"/>
  <c r="V19" i="31"/>
  <c r="H45" i="21" s="1"/>
  <c r="P19" i="31"/>
  <c r="J19" i="31"/>
  <c r="D45" i="21" s="1"/>
  <c r="J26" i="31"/>
  <c r="D46" i="21" s="1"/>
  <c r="P26" i="31"/>
  <c r="F46" i="21" s="1"/>
  <c r="V26" i="31"/>
  <c r="H46" i="21" s="1"/>
  <c r="D26" i="31"/>
  <c r="B46" i="21" s="1"/>
  <c r="D32" i="31"/>
  <c r="B47" i="21" s="1"/>
  <c r="J32" i="31"/>
  <c r="D47" i="21" s="1"/>
  <c r="P32" i="31"/>
  <c r="F47" i="21" s="1"/>
  <c r="B48" i="21"/>
  <c r="H48" i="21"/>
  <c r="F48" i="21"/>
  <c r="D48" i="21"/>
  <c r="B49" i="21"/>
  <c r="J32" i="33"/>
  <c r="D49" i="21" s="1"/>
  <c r="V32" i="33"/>
  <c r="H49" i="21" s="1"/>
  <c r="J28" i="34"/>
  <c r="D50" i="21" s="1"/>
  <c r="P28" i="34"/>
  <c r="F50" i="21" s="1"/>
  <c r="V28" i="34"/>
  <c r="H50" i="21" s="1"/>
  <c r="D28" i="34"/>
  <c r="B50" i="21" s="1"/>
  <c r="J34" i="34"/>
  <c r="D51" i="21" s="1"/>
  <c r="V34" i="34"/>
  <c r="H51" i="21" s="1"/>
  <c r="D34" i="34"/>
  <c r="B51" i="21" s="1"/>
  <c r="P34" i="34"/>
  <c r="F51" i="21" s="1"/>
  <c r="V19" i="35"/>
  <c r="H52" i="21" s="1"/>
  <c r="J19" i="35"/>
  <c r="D52" i="21" s="1"/>
  <c r="P19" i="35"/>
  <c r="F52" i="21" s="1"/>
  <c r="D19" i="35"/>
  <c r="B52" i="21" s="1"/>
  <c r="J28" i="35"/>
  <c r="D53" i="21" s="1"/>
  <c r="D28" i="35"/>
  <c r="B53" i="21" s="1"/>
  <c r="P28" i="35"/>
  <c r="F53" i="21" s="1"/>
  <c r="P35" i="35"/>
  <c r="F54" i="21" s="1"/>
  <c r="D55" i="21"/>
  <c r="P18" i="36"/>
  <c r="F55" i="21" s="1"/>
  <c r="D18" i="36"/>
  <c r="B55" i="21" s="1"/>
  <c r="J28" i="36"/>
  <c r="D56" i="21" s="1"/>
  <c r="P28" i="36"/>
  <c r="F56" i="21" s="1"/>
  <c r="V28" i="36"/>
  <c r="H56" i="21" s="1"/>
  <c r="D28" i="36"/>
  <c r="B56" i="21" s="1"/>
  <c r="J35" i="36"/>
  <c r="D57" i="21" s="1"/>
  <c r="D35" i="36"/>
  <c r="B57" i="21" s="1"/>
  <c r="P35" i="36"/>
  <c r="D18" i="50"/>
  <c r="J58" i="21" s="1"/>
  <c r="P41" i="36"/>
  <c r="J21" i="38"/>
  <c r="D61" i="21" s="1"/>
  <c r="P21" i="38"/>
  <c r="F61" i="21" s="1"/>
  <c r="V21" i="38"/>
  <c r="H61" i="21" s="1"/>
  <c r="D21" i="38"/>
  <c r="B61" i="21" s="1"/>
  <c r="D33" i="50"/>
  <c r="J61" i="21" s="1"/>
  <c r="P31" i="38"/>
  <c r="F62" i="21" s="1"/>
  <c r="V31" i="38"/>
  <c r="H62" i="21" s="1"/>
  <c r="D31" i="38"/>
  <c r="B62" i="21" s="1"/>
  <c r="J31" i="38"/>
  <c r="D62" i="21" s="1"/>
  <c r="D41" i="50"/>
  <c r="J62" i="21" s="1"/>
  <c r="D21" i="39"/>
  <c r="B63" i="21" s="1"/>
  <c r="P21" i="39"/>
  <c r="F63" i="21" s="1"/>
  <c r="J21" i="39"/>
  <c r="D63" i="21" s="1"/>
  <c r="J23" i="50"/>
  <c r="J63" i="21" s="1"/>
  <c r="V31" i="39"/>
  <c r="H64" i="21" s="1"/>
  <c r="D31" i="39"/>
  <c r="B64" i="21" s="1"/>
  <c r="J31" i="39"/>
  <c r="D64" i="21" s="1"/>
  <c r="P31" i="39"/>
  <c r="F64" i="21" s="1"/>
  <c r="J20" i="41"/>
  <c r="D65" i="21" s="1"/>
  <c r="P20" i="41"/>
  <c r="F65" i="21" s="1"/>
  <c r="V20" i="41"/>
  <c r="H65" i="21" s="1"/>
  <c r="D20" i="41"/>
  <c r="B65" i="21" s="1"/>
  <c r="J65" i="21"/>
  <c r="V31" i="41"/>
  <c r="H66" i="21" s="1"/>
  <c r="J31" i="41"/>
  <c r="D66" i="21" s="1"/>
  <c r="P31" i="41"/>
  <c r="F66" i="21" s="1"/>
  <c r="D31" i="41"/>
  <c r="B66" i="21" s="1"/>
  <c r="P34" i="50"/>
  <c r="J66" i="21" s="1"/>
  <c r="V36" i="41"/>
  <c r="H67" i="21" s="1"/>
  <c r="P36" i="41"/>
  <c r="F67" i="21" s="1"/>
  <c r="J36" i="41"/>
  <c r="D67" i="21" s="1"/>
  <c r="P39" i="50"/>
  <c r="J67" i="21" s="1"/>
  <c r="J18" i="42"/>
  <c r="D70" i="21" s="1"/>
  <c r="V18" i="42"/>
  <c r="H70" i="21" s="1"/>
  <c r="D18" i="42"/>
  <c r="B70" i="21" s="1"/>
  <c r="P18" i="42"/>
  <c r="F70" i="21" s="1"/>
  <c r="V18" i="50"/>
  <c r="J70" i="21" s="1"/>
  <c r="J26" i="42"/>
  <c r="D71" i="21" s="1"/>
  <c r="V26" i="42"/>
  <c r="H71" i="21" s="1"/>
  <c r="P26" i="42"/>
  <c r="F71" i="21" s="1"/>
  <c r="V25" i="50"/>
  <c r="J71" i="21" s="1"/>
  <c r="J31" i="42"/>
  <c r="D72" i="21" s="1"/>
  <c r="D31" i="42"/>
  <c r="B72" i="21" s="1"/>
  <c r="P31" i="42"/>
  <c r="F72" i="21" s="1"/>
  <c r="D24" i="43"/>
  <c r="P24" i="43"/>
  <c r="F73" i="21" s="1"/>
  <c r="V24" i="43"/>
  <c r="H73" i="21" s="1"/>
  <c r="J34" i="43"/>
  <c r="D74" i="21" s="1"/>
  <c r="V34" i="43"/>
  <c r="H74" i="21" s="1"/>
  <c r="D34" i="43"/>
  <c r="B74" i="21" s="1"/>
  <c r="P34" i="43"/>
  <c r="F74" i="21" s="1"/>
  <c r="V21" i="44"/>
  <c r="H75" i="21" s="1"/>
  <c r="D21" i="44"/>
  <c r="B75" i="21" s="1"/>
  <c r="J21" i="44"/>
  <c r="D75" i="21" s="1"/>
  <c r="P21" i="44"/>
  <c r="F75" i="21" s="1"/>
  <c r="J31" i="44"/>
  <c r="D76" i="21" s="1"/>
  <c r="D31" i="44"/>
  <c r="B76" i="21" s="1"/>
  <c r="P31" i="44"/>
  <c r="F76" i="21" s="1"/>
  <c r="D24" i="51"/>
  <c r="P18" i="45"/>
  <c r="F77" i="21" s="1"/>
  <c r="D18" i="45"/>
  <c r="B77" i="21" s="1"/>
  <c r="J18" i="45"/>
  <c r="D77" i="21" s="1"/>
  <c r="D29" i="51"/>
  <c r="J24" i="45"/>
  <c r="D78" i="21" s="1"/>
  <c r="P24" i="45"/>
  <c r="F78" i="21" s="1"/>
  <c r="D24" i="45"/>
  <c r="B78" i="21" s="1"/>
  <c r="J17" i="51"/>
  <c r="J78" i="21" s="1"/>
  <c r="J33" i="45"/>
  <c r="D79" i="21" s="1"/>
  <c r="V33" i="45"/>
  <c r="H79" i="21" s="1"/>
  <c r="D33" i="45"/>
  <c r="B79" i="21" s="1"/>
  <c r="P33" i="45"/>
  <c r="F79" i="21" s="1"/>
  <c r="J24" i="51"/>
  <c r="J79" i="21" s="1"/>
  <c r="J77" i="21"/>
  <c r="I70" i="21"/>
  <c r="E71" i="21"/>
  <c r="C72" i="21"/>
  <c r="E72" i="21"/>
  <c r="G72" i="21"/>
  <c r="I74" i="21"/>
  <c r="C75" i="21"/>
  <c r="G75" i="21"/>
  <c r="E76" i="21"/>
  <c r="G76" i="21"/>
  <c r="E77" i="21"/>
  <c r="G77" i="21"/>
  <c r="I77" i="21"/>
  <c r="G78" i="21"/>
  <c r="I78" i="21"/>
  <c r="C79" i="21"/>
  <c r="K79" i="21"/>
  <c r="C32" i="21"/>
  <c r="I32" i="21"/>
  <c r="J7" i="21"/>
  <c r="J45" i="21"/>
  <c r="J46" i="21"/>
  <c r="J49" i="21"/>
  <c r="J50" i="21"/>
  <c r="J52" i="21"/>
  <c r="J53" i="21"/>
  <c r="J55" i="21"/>
  <c r="J56" i="21"/>
  <c r="J57" i="21"/>
  <c r="G63" i="21"/>
  <c r="E63" i="21"/>
  <c r="K45" i="21"/>
  <c r="G56" i="21"/>
  <c r="C58" i="21"/>
  <c r="C65" i="21"/>
  <c r="K65" i="21"/>
  <c r="I67" i="21"/>
  <c r="C61" i="21"/>
  <c r="G61" i="21"/>
  <c r="C62" i="21"/>
  <c r="E62" i="21"/>
  <c r="G62" i="21"/>
  <c r="E43" i="21"/>
  <c r="G43" i="21"/>
  <c r="I43" i="21"/>
  <c r="C44" i="21"/>
  <c r="I44" i="21"/>
  <c r="C45" i="21"/>
  <c r="I46" i="21"/>
  <c r="K46" i="21"/>
  <c r="G47" i="21"/>
  <c r="E48" i="21"/>
  <c r="G48" i="21"/>
  <c r="C49" i="21"/>
  <c r="K49" i="21"/>
  <c r="C50" i="21"/>
  <c r="E50" i="21"/>
  <c r="G50" i="21"/>
  <c r="K50" i="21"/>
  <c r="I51" i="21"/>
  <c r="E38" i="21"/>
  <c r="G38" i="21"/>
  <c r="E9" i="21"/>
  <c r="G9" i="21"/>
  <c r="C7" i="21"/>
  <c r="I7" i="21"/>
  <c r="K7" i="21"/>
  <c r="E8" i="21"/>
  <c r="G8" i="21"/>
  <c r="G10" i="21"/>
  <c r="I10" i="21"/>
  <c r="E12" i="21"/>
  <c r="I12" i="21"/>
  <c r="C15" i="21"/>
  <c r="G15" i="21"/>
  <c r="I15" i="21"/>
  <c r="K15" i="21"/>
  <c r="G16" i="21"/>
  <c r="I16" i="21"/>
  <c r="E17" i="21"/>
  <c r="E18" i="21"/>
  <c r="G18" i="21"/>
  <c r="K18" i="21"/>
  <c r="E19" i="21"/>
  <c r="G19" i="21"/>
  <c r="I20" i="21"/>
  <c r="K20" i="21"/>
  <c r="G21" i="21"/>
  <c r="I21" i="21"/>
  <c r="K22" i="21"/>
  <c r="C22" i="21"/>
  <c r="C23" i="21"/>
  <c r="E23" i="21"/>
  <c r="C24" i="21"/>
  <c r="G24" i="21"/>
  <c r="K6" i="21"/>
  <c r="C5" i="21"/>
  <c r="G5" i="21"/>
  <c r="G25" i="21"/>
  <c r="I25" i="21"/>
  <c r="G26" i="21"/>
  <c r="I26" i="21"/>
  <c r="G27" i="21"/>
  <c r="C28" i="21"/>
  <c r="G33" i="21"/>
  <c r="I33" i="21"/>
  <c r="C34" i="21"/>
  <c r="I34" i="21"/>
  <c r="I35" i="21"/>
  <c r="E39" i="21"/>
  <c r="G42" i="21"/>
  <c r="G52" i="21"/>
  <c r="K52" i="21"/>
  <c r="K53" i="21"/>
  <c r="C55" i="21"/>
  <c r="E55" i="21"/>
  <c r="K55" i="21"/>
  <c r="E56" i="21"/>
  <c r="K56" i="21"/>
  <c r="K57" i="21"/>
  <c r="M29" i="21"/>
  <c r="M59" i="21"/>
  <c r="M68" i="21"/>
  <c r="L29" i="21"/>
  <c r="L68" i="21"/>
  <c r="L59" i="21"/>
  <c r="D21" i="28"/>
  <c r="B27" i="21" s="1"/>
  <c r="J21" i="28"/>
  <c r="D27" i="21" s="1"/>
  <c r="AB35" i="28"/>
  <c r="AB33" i="45"/>
  <c r="L79" i="21" s="1"/>
  <c r="AB24" i="45"/>
  <c r="AD18" i="45"/>
  <c r="AB18" i="45"/>
  <c r="AB31" i="44"/>
  <c r="L76" i="21" s="1"/>
  <c r="V31" i="44"/>
  <c r="H76" i="21" s="1"/>
  <c r="AD21" i="44"/>
  <c r="AB21" i="44"/>
  <c r="AD34" i="43"/>
  <c r="AB34" i="43"/>
  <c r="AD24" i="43"/>
  <c r="AB24" i="43"/>
  <c r="AB18" i="42"/>
  <c r="AB20" i="41"/>
  <c r="AB31" i="39"/>
  <c r="AD21" i="39"/>
  <c r="AB21" i="39"/>
  <c r="AB31" i="38"/>
  <c r="AD21" i="38"/>
  <c r="AB21" i="38"/>
  <c r="AB41" i="36"/>
  <c r="J41" i="36"/>
  <c r="D58" i="21" s="1"/>
  <c r="D41" i="36"/>
  <c r="B58" i="21" s="1"/>
  <c r="AD35" i="36"/>
  <c r="AB35" i="36"/>
  <c r="V35" i="36"/>
  <c r="H57" i="21" s="1"/>
  <c r="AB28" i="36"/>
  <c r="AD18" i="36"/>
  <c r="AB18" i="36"/>
  <c r="AB35" i="35"/>
  <c r="AD28" i="35"/>
  <c r="AB28" i="35"/>
  <c r="AB28" i="34"/>
  <c r="AB32" i="33"/>
  <c r="AB32" i="31"/>
  <c r="AD26" i="31"/>
  <c r="AB26" i="31"/>
  <c r="AB19" i="31"/>
  <c r="AD35" i="30"/>
  <c r="AB35" i="30"/>
  <c r="AB24" i="30"/>
  <c r="AD35" i="53"/>
  <c r="AB35" i="53"/>
  <c r="AB24" i="29"/>
  <c r="AD25" i="13"/>
  <c r="AB25" i="13"/>
  <c r="AD33" i="52"/>
  <c r="AB33" i="52"/>
  <c r="AB30" i="12"/>
  <c r="AD20" i="12"/>
  <c r="AB20" i="12"/>
  <c r="AB32" i="11"/>
  <c r="AB20" i="11"/>
  <c r="AB37" i="10"/>
  <c r="AB29" i="10"/>
  <c r="AB19" i="10"/>
  <c r="AB34" i="6"/>
  <c r="V18" i="3"/>
  <c r="H7" i="21" s="1"/>
  <c r="AD24" i="2"/>
  <c r="AD21" i="28"/>
  <c r="AD35" i="28"/>
  <c r="V41" i="36"/>
  <c r="H58" i="21" s="1"/>
  <c r="V18" i="36"/>
  <c r="D35" i="35"/>
  <c r="B54" i="21" s="1"/>
  <c r="AD28" i="36"/>
  <c r="AD19" i="35"/>
  <c r="AB19" i="35"/>
  <c r="V32" i="31"/>
  <c r="H47" i="21" s="1"/>
  <c r="AD32" i="31"/>
  <c r="AB36" i="13"/>
  <c r="AD36" i="13"/>
  <c r="AE40" i="52"/>
  <c r="AD30" i="12"/>
  <c r="AD32" i="11"/>
  <c r="AD20" i="11"/>
  <c r="AD37" i="10"/>
  <c r="V37" i="10"/>
  <c r="H22" i="21" s="1"/>
  <c r="AB35" i="8"/>
  <c r="V35" i="8"/>
  <c r="AD26" i="8"/>
  <c r="AB26" i="8"/>
  <c r="AD18" i="8"/>
  <c r="AB18" i="8"/>
  <c r="AD35" i="7"/>
  <c r="AB35" i="7"/>
  <c r="AD27" i="7"/>
  <c r="AB27" i="7"/>
  <c r="J27" i="7"/>
  <c r="D15" i="21" s="1"/>
  <c r="AD19" i="7"/>
  <c r="AD34" i="6"/>
  <c r="AB20" i="6"/>
  <c r="AD20" i="6"/>
  <c r="AB36" i="5"/>
  <c r="AD36" i="5"/>
  <c r="AB24" i="5"/>
  <c r="AD24" i="5"/>
  <c r="AB38" i="3"/>
  <c r="AD38" i="3"/>
  <c r="L17" i="13"/>
  <c r="E32" i="21" s="1"/>
  <c r="V18" i="45"/>
  <c r="H77" i="21" s="1"/>
  <c r="V24" i="45"/>
  <c r="H78" i="21" s="1"/>
  <c r="V28" i="35"/>
  <c r="J35" i="35"/>
  <c r="D54" i="21" s="1"/>
  <c r="V35" i="35"/>
  <c r="H54" i="21" s="1"/>
  <c r="V36" i="2"/>
  <c r="H6" i="21" s="1"/>
  <c r="D19" i="10"/>
  <c r="B20" i="21" s="1"/>
  <c r="V19" i="10"/>
  <c r="H20" i="21" s="1"/>
  <c r="AB29" i="29"/>
  <c r="AD29" i="29"/>
  <c r="AD24" i="45"/>
  <c r="AD31" i="42"/>
  <c r="AD18" i="42"/>
  <c r="D26" i="42"/>
  <c r="B71" i="21" s="1"/>
  <c r="AB26" i="42"/>
  <c r="AD26" i="42"/>
  <c r="V31" i="42"/>
  <c r="AB31" i="42"/>
  <c r="AD31" i="41"/>
  <c r="AD20" i="41"/>
  <c r="AD36" i="41"/>
  <c r="AB31" i="41"/>
  <c r="D36" i="41"/>
  <c r="B67" i="21" s="1"/>
  <c r="AB36" i="41"/>
  <c r="V21" i="39"/>
  <c r="H63" i="21" s="1"/>
  <c r="AD31" i="39"/>
  <c r="AD31" i="38"/>
  <c r="AD35" i="35"/>
  <c r="AD28" i="34"/>
  <c r="AB34" i="34"/>
  <c r="AD34" i="34"/>
  <c r="AD32" i="33"/>
  <c r="AD19" i="31"/>
  <c r="AD24" i="29"/>
  <c r="AD37" i="29"/>
  <c r="AB37" i="29"/>
  <c r="AD36" i="14"/>
  <c r="AD24" i="14"/>
  <c r="AD36" i="2"/>
  <c r="AB24" i="2"/>
  <c r="AD19" i="10"/>
  <c r="AD29" i="10"/>
  <c r="AB18" i="3"/>
  <c r="AB28" i="3"/>
  <c r="AD18" i="3"/>
  <c r="AD28" i="3"/>
  <c r="AE33" i="12"/>
  <c r="H72" i="21"/>
  <c r="K21" i="21" l="1"/>
  <c r="AE46" i="47"/>
  <c r="U7" i="47" s="1"/>
  <c r="J21" i="21"/>
  <c r="AE45" i="47"/>
  <c r="AE20" i="31"/>
  <c r="J25" i="55" s="1"/>
  <c r="AE29" i="34"/>
  <c r="J30" i="55" s="1"/>
  <c r="AE25" i="30"/>
  <c r="AE42" i="36"/>
  <c r="O15" i="55" s="1"/>
  <c r="AE25" i="45"/>
  <c r="O31" i="55" s="1"/>
  <c r="I45" i="21"/>
  <c r="O45" i="21" s="1"/>
  <c r="M80" i="21"/>
  <c r="AE21" i="12"/>
  <c r="E32" i="55" s="1"/>
  <c r="AE20" i="10"/>
  <c r="E27" i="55" s="1"/>
  <c r="AE28" i="7"/>
  <c r="E22" i="55" s="1"/>
  <c r="AE32" i="42"/>
  <c r="O25" i="55" s="1"/>
  <c r="AE30" i="29"/>
  <c r="J20" i="55" s="1"/>
  <c r="AE31" i="51"/>
  <c r="U7" i="51" s="1"/>
  <c r="K76" i="21"/>
  <c r="K80" i="21" s="1"/>
  <c r="AE19" i="45"/>
  <c r="O30" i="55" s="1"/>
  <c r="AE34" i="45"/>
  <c r="O32" i="55" s="1"/>
  <c r="AE27" i="42"/>
  <c r="O24" i="55" s="1"/>
  <c r="AE32" i="39"/>
  <c r="O19" i="55" s="1"/>
  <c r="AE22" i="39"/>
  <c r="O18" i="55" s="1"/>
  <c r="AE32" i="38"/>
  <c r="O17" i="55" s="1"/>
  <c r="AE22" i="38"/>
  <c r="O16" i="55" s="1"/>
  <c r="I58" i="21"/>
  <c r="O58" i="21" s="1"/>
  <c r="AE29" i="36"/>
  <c r="O13" i="55" s="1"/>
  <c r="AE19" i="36"/>
  <c r="O12" i="55" s="1"/>
  <c r="AE36" i="36"/>
  <c r="O14" i="55" s="1"/>
  <c r="AE35" i="34"/>
  <c r="I50" i="21"/>
  <c r="O50" i="21" s="1"/>
  <c r="AE40" i="31"/>
  <c r="J28" i="55" s="1"/>
  <c r="AE33" i="31"/>
  <c r="J27" i="55" s="1"/>
  <c r="AE38" i="29"/>
  <c r="J21" i="55" s="1"/>
  <c r="O39" i="21"/>
  <c r="AE25" i="29"/>
  <c r="AE37" i="14"/>
  <c r="J18" i="55" s="1"/>
  <c r="O36" i="21"/>
  <c r="AE25" i="14"/>
  <c r="J17" i="55" s="1"/>
  <c r="AE37" i="13"/>
  <c r="J16" i="55" s="1"/>
  <c r="AE34" i="52"/>
  <c r="U7" i="52" s="1"/>
  <c r="AE36" i="28"/>
  <c r="J12" i="55" s="1"/>
  <c r="AE22" i="28"/>
  <c r="E34" i="55" s="1"/>
  <c r="AE31" i="12"/>
  <c r="E33" i="55" s="1"/>
  <c r="O26" i="21"/>
  <c r="C25" i="21"/>
  <c r="O25" i="21" s="1"/>
  <c r="AE33" i="11"/>
  <c r="AE21" i="11"/>
  <c r="E30" i="55" s="1"/>
  <c r="AE38" i="10"/>
  <c r="E29" i="55" s="1"/>
  <c r="AE30" i="10"/>
  <c r="E28" i="55" s="1"/>
  <c r="AE20" i="7"/>
  <c r="E21" i="55" s="1"/>
  <c r="AE37" i="5"/>
  <c r="E18" i="55" s="1"/>
  <c r="AE25" i="5"/>
  <c r="E17" i="55" s="1"/>
  <c r="AE25" i="2"/>
  <c r="E12" i="55" s="1"/>
  <c r="AE18" i="13"/>
  <c r="J14" i="55" s="1"/>
  <c r="AE26" i="13"/>
  <c r="J15" i="55" s="1"/>
  <c r="AE27" i="31"/>
  <c r="J26" i="55" s="1"/>
  <c r="AE32" i="44"/>
  <c r="O29" i="55" s="1"/>
  <c r="AE22" i="44"/>
  <c r="O28" i="55" s="1"/>
  <c r="AE25" i="43"/>
  <c r="O26" i="55" s="1"/>
  <c r="AE35" i="43"/>
  <c r="O27" i="55" s="1"/>
  <c r="AE19" i="42"/>
  <c r="O23" i="55" s="1"/>
  <c r="AE26" i="42"/>
  <c r="N24" i="55" s="1"/>
  <c r="AE37" i="41"/>
  <c r="O22" i="55" s="1"/>
  <c r="AE32" i="41"/>
  <c r="O21" i="55" s="1"/>
  <c r="AE21" i="41"/>
  <c r="O20" i="55" s="1"/>
  <c r="AE29" i="35"/>
  <c r="J33" i="55" s="1"/>
  <c r="AE36" i="35"/>
  <c r="AE20" i="35"/>
  <c r="J32" i="55" s="1"/>
  <c r="AE26" i="31"/>
  <c r="I26" i="55" s="1"/>
  <c r="K44" i="21"/>
  <c r="O44" i="21" s="1"/>
  <c r="I76" i="21"/>
  <c r="O76" i="21" s="1"/>
  <c r="AE37" i="2"/>
  <c r="E13" i="55" s="1"/>
  <c r="I6" i="21"/>
  <c r="O6" i="21" s="1"/>
  <c r="J76" i="21"/>
  <c r="J80" i="21" s="1"/>
  <c r="AE30" i="51"/>
  <c r="AE31" i="39"/>
  <c r="N19" i="55" s="1"/>
  <c r="K68" i="21"/>
  <c r="O20" i="21"/>
  <c r="O77" i="21"/>
  <c r="O78" i="21"/>
  <c r="O75" i="21"/>
  <c r="O73" i="21"/>
  <c r="E80" i="21"/>
  <c r="O74" i="21"/>
  <c r="G80" i="21"/>
  <c r="O71" i="21"/>
  <c r="O70" i="21"/>
  <c r="C80" i="21"/>
  <c r="O72" i="21"/>
  <c r="N72" i="21"/>
  <c r="O67" i="21"/>
  <c r="O66" i="21"/>
  <c r="O65" i="21"/>
  <c r="O63" i="21"/>
  <c r="O64" i="21"/>
  <c r="G68" i="21"/>
  <c r="I68" i="21"/>
  <c r="O61" i="21"/>
  <c r="O62" i="21"/>
  <c r="C68" i="21"/>
  <c r="O56" i="21"/>
  <c r="O57" i="21"/>
  <c r="O55" i="21"/>
  <c r="O52" i="21"/>
  <c r="O53" i="21"/>
  <c r="O46" i="21"/>
  <c r="O47" i="21"/>
  <c r="O48" i="21"/>
  <c r="E59" i="21"/>
  <c r="C59" i="21"/>
  <c r="G40" i="21"/>
  <c r="C40" i="21"/>
  <c r="O33" i="21"/>
  <c r="M81" i="21"/>
  <c r="O34" i="21"/>
  <c r="I40" i="21"/>
  <c r="E40" i="21"/>
  <c r="O31" i="21"/>
  <c r="O28" i="21"/>
  <c r="O27" i="21"/>
  <c r="O24" i="21"/>
  <c r="O23" i="21"/>
  <c r="O22" i="21"/>
  <c r="O21" i="21"/>
  <c r="AE19" i="8"/>
  <c r="E24" i="55" s="1"/>
  <c r="AE36" i="8"/>
  <c r="E26" i="55" s="1"/>
  <c r="O18" i="21"/>
  <c r="O19" i="21"/>
  <c r="O17" i="21"/>
  <c r="AE36" i="7"/>
  <c r="E23" i="55" s="1"/>
  <c r="O16" i="21"/>
  <c r="AE35" i="6"/>
  <c r="E20" i="55" s="1"/>
  <c r="AE21" i="6"/>
  <c r="E19" i="55" s="1"/>
  <c r="AE29" i="3"/>
  <c r="E15" i="55" s="1"/>
  <c r="E29" i="21"/>
  <c r="O7" i="21"/>
  <c r="AE19" i="3"/>
  <c r="E14" i="55" s="1"/>
  <c r="AE39" i="3"/>
  <c r="E16" i="55" s="1"/>
  <c r="O8" i="21"/>
  <c r="G29" i="21"/>
  <c r="J24" i="21"/>
  <c r="AE18" i="42"/>
  <c r="N23" i="55" s="1"/>
  <c r="AE29" i="10"/>
  <c r="D28" i="55" s="1"/>
  <c r="AE18" i="36"/>
  <c r="N12" i="55" s="1"/>
  <c r="AE32" i="11"/>
  <c r="D31" i="55" s="1"/>
  <c r="H24" i="21"/>
  <c r="J44" i="21"/>
  <c r="N44" i="21" s="1"/>
  <c r="E68" i="21"/>
  <c r="O5" i="21"/>
  <c r="AE24" i="43"/>
  <c r="N26" i="55" s="1"/>
  <c r="N33" i="21"/>
  <c r="H55" i="21"/>
  <c r="N55" i="21" s="1"/>
  <c r="AE34" i="34"/>
  <c r="O38" i="21"/>
  <c r="B73" i="21"/>
  <c r="B80" i="21" s="1"/>
  <c r="AE31" i="42"/>
  <c r="N25" i="55" s="1"/>
  <c r="N67" i="21"/>
  <c r="AE35" i="36"/>
  <c r="N14" i="55" s="1"/>
  <c r="AE21" i="28"/>
  <c r="D34" i="55" s="1"/>
  <c r="AE36" i="5"/>
  <c r="D18" i="55" s="1"/>
  <c r="AE36" i="2"/>
  <c r="D13" i="55" s="1"/>
  <c r="AE19" i="10"/>
  <c r="D27" i="55" s="1"/>
  <c r="AE17" i="13"/>
  <c r="I14" i="55" s="1"/>
  <c r="F57" i="21"/>
  <c r="N57" i="21" s="1"/>
  <c r="AE39" i="31"/>
  <c r="I28" i="55" s="1"/>
  <c r="AE35" i="7"/>
  <c r="D23" i="55" s="1"/>
  <c r="AE31" i="38"/>
  <c r="N17" i="55" s="1"/>
  <c r="AE36" i="53"/>
  <c r="G59" i="21"/>
  <c r="AE19" i="31"/>
  <c r="I25" i="55" s="1"/>
  <c r="AE32" i="33"/>
  <c r="I29" i="55" s="1"/>
  <c r="AE35" i="8"/>
  <c r="D26" i="55" s="1"/>
  <c r="J68" i="21"/>
  <c r="O15" i="21"/>
  <c r="AE28" i="35"/>
  <c r="I33" i="55" s="1"/>
  <c r="AE18" i="8"/>
  <c r="D24" i="55" s="1"/>
  <c r="AE21" i="44"/>
  <c r="N28" i="55" s="1"/>
  <c r="N75" i="21"/>
  <c r="AE34" i="43"/>
  <c r="N27" i="55" s="1"/>
  <c r="AE36" i="41"/>
  <c r="N22" i="55" s="1"/>
  <c r="AE31" i="41"/>
  <c r="N21" i="55" s="1"/>
  <c r="D68" i="21"/>
  <c r="N64" i="21"/>
  <c r="AE21" i="39"/>
  <c r="N18" i="55" s="1"/>
  <c r="N63" i="21"/>
  <c r="AE41" i="36"/>
  <c r="N15" i="55" s="1"/>
  <c r="F58" i="21"/>
  <c r="N58" i="21" s="1"/>
  <c r="N56" i="21"/>
  <c r="AE28" i="36"/>
  <c r="N13" i="55" s="1"/>
  <c r="AE19" i="35"/>
  <c r="I32" i="55" s="1"/>
  <c r="N48" i="21"/>
  <c r="AE32" i="31"/>
  <c r="I27" i="55" s="1"/>
  <c r="N46" i="21"/>
  <c r="F45" i="21"/>
  <c r="N45" i="21" s="1"/>
  <c r="AE35" i="53"/>
  <c r="AE25" i="13"/>
  <c r="I15" i="55" s="1"/>
  <c r="AE35" i="28"/>
  <c r="I12" i="55" s="1"/>
  <c r="N26" i="21"/>
  <c r="AE20" i="11"/>
  <c r="D30" i="55" s="1"/>
  <c r="H19" i="21"/>
  <c r="N19" i="21" s="1"/>
  <c r="B17" i="21"/>
  <c r="N17" i="21" s="1"/>
  <c r="AE27" i="7"/>
  <c r="D22" i="55" s="1"/>
  <c r="N15" i="21"/>
  <c r="AE19" i="7"/>
  <c r="D21" i="55" s="1"/>
  <c r="AE38" i="3"/>
  <c r="D16" i="55" s="1"/>
  <c r="AE28" i="3"/>
  <c r="D15" i="55" s="1"/>
  <c r="N79" i="21"/>
  <c r="AE29" i="29"/>
  <c r="I20" i="55" s="1"/>
  <c r="N39" i="21"/>
  <c r="AE36" i="13"/>
  <c r="I16" i="55" s="1"/>
  <c r="D40" i="21"/>
  <c r="AE35" i="30"/>
  <c r="I24" i="55" s="1"/>
  <c r="AE24" i="30"/>
  <c r="AE24" i="29"/>
  <c r="I19" i="55" s="1"/>
  <c r="AE33" i="33"/>
  <c r="J29" i="55" s="1"/>
  <c r="O49" i="21"/>
  <c r="N78" i="21"/>
  <c r="AE24" i="45"/>
  <c r="N31" i="55" s="1"/>
  <c r="AE18" i="45"/>
  <c r="N30" i="55" s="1"/>
  <c r="N77" i="21"/>
  <c r="AE31" i="44"/>
  <c r="N29" i="55" s="1"/>
  <c r="D80" i="21"/>
  <c r="N74" i="21"/>
  <c r="N71" i="21"/>
  <c r="H80" i="21"/>
  <c r="N70" i="21"/>
  <c r="F80" i="21"/>
  <c r="N66" i="21"/>
  <c r="AE20" i="41"/>
  <c r="N20" i="55" s="1"/>
  <c r="N65" i="21"/>
  <c r="H68" i="21"/>
  <c r="N62" i="21"/>
  <c r="F68" i="21"/>
  <c r="B68" i="21"/>
  <c r="N61" i="21"/>
  <c r="AE21" i="38"/>
  <c r="N16" i="55" s="1"/>
  <c r="AE35" i="35"/>
  <c r="H53" i="21"/>
  <c r="AE28" i="34"/>
  <c r="I30" i="55" s="1"/>
  <c r="N50" i="21"/>
  <c r="N49" i="21"/>
  <c r="AE37" i="29"/>
  <c r="I21" i="55" s="1"/>
  <c r="N38" i="21"/>
  <c r="N37" i="21"/>
  <c r="B40" i="21"/>
  <c r="AE36" i="14"/>
  <c r="I18" i="55" s="1"/>
  <c r="N36" i="21"/>
  <c r="F40" i="21"/>
  <c r="AE24" i="14"/>
  <c r="I17" i="55" s="1"/>
  <c r="N34" i="21"/>
  <c r="H40" i="21"/>
  <c r="AE33" i="52"/>
  <c r="I13" i="55" s="1"/>
  <c r="N31" i="21"/>
  <c r="N28" i="21"/>
  <c r="N27" i="21"/>
  <c r="AE30" i="12"/>
  <c r="D33" i="55" s="1"/>
  <c r="AE20" i="12"/>
  <c r="D32" i="55" s="1"/>
  <c r="N25" i="21"/>
  <c r="N23" i="21"/>
  <c r="AE37" i="10"/>
  <c r="D29" i="55" s="1"/>
  <c r="N22" i="21"/>
  <c r="N21" i="21"/>
  <c r="N20" i="21"/>
  <c r="N18" i="21"/>
  <c r="N16" i="21"/>
  <c r="AE34" i="6"/>
  <c r="D20" i="55" s="1"/>
  <c r="F29" i="21"/>
  <c r="AE20" i="6"/>
  <c r="D19" i="55" s="1"/>
  <c r="D29" i="21"/>
  <c r="AE24" i="5"/>
  <c r="D17" i="55" s="1"/>
  <c r="AE18" i="3"/>
  <c r="D14" i="55" s="1"/>
  <c r="AE24" i="2"/>
  <c r="D12" i="55" s="1"/>
  <c r="N52" i="21"/>
  <c r="D59" i="21"/>
  <c r="N47" i="21"/>
  <c r="AE33" i="45"/>
  <c r="N32" i="55" s="1"/>
  <c r="B59" i="21"/>
  <c r="AE26" i="8"/>
  <c r="D25" i="55" s="1"/>
  <c r="AE43" i="50"/>
  <c r="U7" i="50" s="1"/>
  <c r="AF44" i="25"/>
  <c r="V7" i="25" s="1"/>
  <c r="AE42" i="50"/>
  <c r="AF43" i="25"/>
  <c r="AE27" i="8"/>
  <c r="O9" i="21"/>
  <c r="O12" i="21"/>
  <c r="N13" i="21"/>
  <c r="N12" i="21"/>
  <c r="N14" i="21"/>
  <c r="O14" i="21"/>
  <c r="O13" i="21"/>
  <c r="O11" i="21"/>
  <c r="O32" i="21"/>
  <c r="N32" i="21"/>
  <c r="O10" i="21"/>
  <c r="K29" i="21"/>
  <c r="L80" i="21"/>
  <c r="L81" i="21" s="1"/>
  <c r="AE36" i="30"/>
  <c r="U7" i="30" s="1"/>
  <c r="N11" i="21"/>
  <c r="N6" i="21"/>
  <c r="N5" i="21"/>
  <c r="O79" i="21"/>
  <c r="N10" i="21"/>
  <c r="N8" i="21"/>
  <c r="N7" i="21"/>
  <c r="J9" i="21"/>
  <c r="N76" i="21" l="1"/>
  <c r="U7" i="39"/>
  <c r="J13" i="55"/>
  <c r="U7" i="12"/>
  <c r="U7" i="38"/>
  <c r="I59" i="21"/>
  <c r="U7" i="29"/>
  <c r="C29" i="21"/>
  <c r="C81" i="21" s="1"/>
  <c r="U7" i="11"/>
  <c r="U7" i="28"/>
  <c r="U7" i="45"/>
  <c r="U7" i="44"/>
  <c r="U7" i="43"/>
  <c r="U7" i="42"/>
  <c r="U7" i="41"/>
  <c r="U7" i="36"/>
  <c r="U7" i="35"/>
  <c r="U7" i="34"/>
  <c r="U7" i="31"/>
  <c r="U7" i="14"/>
  <c r="U7" i="13"/>
  <c r="E31" i="55"/>
  <c r="U7" i="10"/>
  <c r="U7" i="5"/>
  <c r="U7" i="2"/>
  <c r="U7" i="53"/>
  <c r="I80" i="21"/>
  <c r="I29" i="21"/>
  <c r="J29" i="21"/>
  <c r="O80" i="21"/>
  <c r="O68" i="21"/>
  <c r="J24" i="55"/>
  <c r="U7" i="8"/>
  <c r="U7" i="7"/>
  <c r="E25" i="55"/>
  <c r="U7" i="6"/>
  <c r="E81" i="21"/>
  <c r="U7" i="3"/>
  <c r="G81" i="21"/>
  <c r="N24" i="21"/>
  <c r="H59" i="21"/>
  <c r="B29" i="21"/>
  <c r="B81" i="21" s="1"/>
  <c r="N73" i="21"/>
  <c r="F59" i="21"/>
  <c r="F81" i="21" s="1"/>
  <c r="H29" i="21"/>
  <c r="N53" i="21"/>
  <c r="U7" i="33"/>
  <c r="N68" i="21"/>
  <c r="D81" i="21"/>
  <c r="O29" i="21"/>
  <c r="N9" i="21"/>
  <c r="O35" i="21"/>
  <c r="N35" i="21"/>
  <c r="N80" i="21" l="1"/>
  <c r="I81" i="21"/>
  <c r="N29" i="21"/>
  <c r="H81" i="21"/>
  <c r="N40" i="21"/>
  <c r="J19" i="55" l="1"/>
  <c r="K37" i="21"/>
  <c r="O37" i="21" s="1"/>
  <c r="K40" i="21" l="1"/>
  <c r="O40" i="21" l="1"/>
  <c r="J43" i="21"/>
  <c r="N43" i="21" s="1"/>
  <c r="I23" i="55"/>
  <c r="K43" i="21"/>
  <c r="O43" i="21" s="1"/>
  <c r="J23" i="55"/>
  <c r="I22" i="55"/>
  <c r="AE42" i="48"/>
  <c r="J42" i="21"/>
  <c r="N42" i="21" l="1"/>
  <c r="AE43" i="48"/>
  <c r="U7" i="48" s="1"/>
  <c r="K42" i="21"/>
  <c r="O42" i="21" s="1"/>
  <c r="J22" i="55"/>
  <c r="I34" i="55"/>
  <c r="J54" i="21"/>
  <c r="N54" i="21" s="1"/>
  <c r="K54" i="21"/>
  <c r="O54" i="21" s="1"/>
  <c r="J34" i="55"/>
  <c r="J51" i="21"/>
  <c r="N51" i="21" s="1"/>
  <c r="AE42" i="49"/>
  <c r="I31" i="55"/>
  <c r="N35" i="55" l="1"/>
  <c r="N59" i="21"/>
  <c r="N81" i="21" s="1"/>
  <c r="J59" i="21"/>
  <c r="J81" i="21" s="1"/>
  <c r="AE43" i="49" l="1"/>
  <c r="U7" i="49" s="1"/>
  <c r="K51" i="21"/>
  <c r="K59" i="21" s="1"/>
  <c r="K81" i="21" s="1"/>
  <c r="J31" i="55"/>
  <c r="O35" i="55" s="1"/>
  <c r="I9" i="55" s="1"/>
  <c r="U8" i="10" l="1"/>
  <c r="U8" i="42"/>
  <c r="U8" i="33"/>
  <c r="U8" i="39"/>
  <c r="U8" i="7"/>
  <c r="U8" i="45"/>
  <c r="U8" i="8"/>
  <c r="U8" i="12"/>
  <c r="U8" i="2"/>
  <c r="U8" i="3"/>
  <c r="U8" i="13"/>
  <c r="U8" i="43"/>
  <c r="U8" i="44"/>
  <c r="U8" i="5"/>
  <c r="U8" i="53"/>
  <c r="U8" i="28"/>
  <c r="U8" i="51"/>
  <c r="U8" i="48"/>
  <c r="U8" i="36"/>
  <c r="U8" i="52"/>
  <c r="U8" i="38"/>
  <c r="U8" i="14"/>
  <c r="U8" i="11"/>
  <c r="U8" i="34"/>
  <c r="U8" i="50"/>
  <c r="U8" i="49"/>
  <c r="U8" i="31"/>
  <c r="U8" i="30"/>
  <c r="U8" i="6"/>
  <c r="U8" i="41"/>
  <c r="U8" i="29"/>
  <c r="V8" i="25"/>
  <c r="U8" i="47"/>
  <c r="U8" i="35"/>
  <c r="O51" i="21"/>
  <c r="O59" i="21" s="1"/>
  <c r="O81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KOBE024</author>
  </authors>
  <commentList>
    <comment ref="E9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入力例：2014/1/1</t>
        </r>
      </text>
    </comment>
    <comment ref="I9" authorId="0" shapeId="0" xr:uid="{00000000-0006-0000-03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<sst xmlns="http://schemas.openxmlformats.org/spreadsheetml/2006/main" count="4701" uniqueCount="1646">
  <si>
    <t>現在</t>
    <rPh sb="0" eb="2">
      <t>ゲンザイ</t>
    </rPh>
    <phoneticPr fontId="2"/>
  </si>
  <si>
    <t>東淡路</t>
    <rPh sb="0" eb="1">
      <t>ヒガシ</t>
    </rPh>
    <rPh sb="1" eb="3">
      <t>アワジ</t>
    </rPh>
    <phoneticPr fontId="2"/>
  </si>
  <si>
    <t>淡路</t>
    <rPh sb="0" eb="2">
      <t>アワジ</t>
    </rPh>
    <phoneticPr fontId="2"/>
  </si>
  <si>
    <t>井高野</t>
    <rPh sb="0" eb="1">
      <t>イ</t>
    </rPh>
    <rPh sb="1" eb="3">
      <t>タカノ</t>
    </rPh>
    <phoneticPr fontId="2"/>
  </si>
  <si>
    <t>瑞光　</t>
    <rPh sb="0" eb="2">
      <t>ズイコウ</t>
    </rPh>
    <phoneticPr fontId="2"/>
  </si>
  <si>
    <t>豊里</t>
    <rPh sb="0" eb="1">
      <t>トヨ</t>
    </rPh>
    <rPh sb="1" eb="2">
      <t>サト</t>
    </rPh>
    <phoneticPr fontId="2"/>
  </si>
  <si>
    <t>江口</t>
    <rPh sb="0" eb="2">
      <t>エグチ</t>
    </rPh>
    <phoneticPr fontId="2"/>
  </si>
  <si>
    <t>下新庄</t>
    <rPh sb="0" eb="1">
      <t>シモ</t>
    </rPh>
    <rPh sb="1" eb="3">
      <t>シンジョウ</t>
    </rPh>
    <phoneticPr fontId="2"/>
  </si>
  <si>
    <t>【大阪市内】   北区</t>
    <rPh sb="1" eb="3">
      <t>オオサカ</t>
    </rPh>
    <rPh sb="3" eb="5">
      <t>シナイ</t>
    </rPh>
    <rPh sb="9" eb="11">
      <t>キタク</t>
    </rPh>
    <phoneticPr fontId="2"/>
  </si>
  <si>
    <t>天満</t>
    <rPh sb="0" eb="2">
      <t>テンマ</t>
    </rPh>
    <phoneticPr fontId="2"/>
  </si>
  <si>
    <t>天六</t>
    <rPh sb="0" eb="2">
      <t>テンロク</t>
    </rPh>
    <phoneticPr fontId="2"/>
  </si>
  <si>
    <t>天六</t>
    <rPh sb="0" eb="1">
      <t>テン</t>
    </rPh>
    <rPh sb="1" eb="2">
      <t>ロク</t>
    </rPh>
    <phoneticPr fontId="2"/>
  </si>
  <si>
    <t>桜橋</t>
    <rPh sb="0" eb="2">
      <t>サクラバシ</t>
    </rPh>
    <phoneticPr fontId="2"/>
  </si>
  <si>
    <t>北</t>
    <rPh sb="0" eb="1">
      <t>キタ</t>
    </rPh>
    <phoneticPr fontId="2"/>
  </si>
  <si>
    <t>【大阪市内】   福島区</t>
    <rPh sb="1" eb="3">
      <t>オオサカ</t>
    </rPh>
    <rPh sb="3" eb="5">
      <t>シナイ</t>
    </rPh>
    <rPh sb="9" eb="11">
      <t>フクシマ</t>
    </rPh>
    <rPh sb="11" eb="12">
      <t>ク</t>
    </rPh>
    <phoneticPr fontId="2"/>
  </si>
  <si>
    <t>野田</t>
    <rPh sb="0" eb="2">
      <t>ノダ</t>
    </rPh>
    <phoneticPr fontId="2"/>
  </si>
  <si>
    <t>福島</t>
    <rPh sb="0" eb="2">
      <t>フクシマ</t>
    </rPh>
    <phoneticPr fontId="2"/>
  </si>
  <si>
    <t>福島北</t>
    <rPh sb="0" eb="2">
      <t>フクシマ</t>
    </rPh>
    <rPh sb="2" eb="3">
      <t>キタ</t>
    </rPh>
    <phoneticPr fontId="2"/>
  </si>
  <si>
    <t>福島中津</t>
    <rPh sb="0" eb="2">
      <t>フクシマ</t>
    </rPh>
    <rPh sb="2" eb="4">
      <t>ナカツ</t>
    </rPh>
    <phoneticPr fontId="2"/>
  </si>
  <si>
    <t>【大阪市内】   都島区</t>
    <rPh sb="1" eb="3">
      <t>オオサカ</t>
    </rPh>
    <rPh sb="3" eb="5">
      <t>シナイ</t>
    </rPh>
    <rPh sb="9" eb="11">
      <t>ミヤコジマ</t>
    </rPh>
    <rPh sb="11" eb="12">
      <t>ク</t>
    </rPh>
    <phoneticPr fontId="2"/>
  </si>
  <si>
    <t>都島</t>
    <rPh sb="0" eb="1">
      <t>ミヤコ</t>
    </rPh>
    <rPh sb="1" eb="2">
      <t>シマ</t>
    </rPh>
    <phoneticPr fontId="2"/>
  </si>
  <si>
    <t>桜の宮</t>
    <rPh sb="0" eb="1">
      <t>サクラ</t>
    </rPh>
    <rPh sb="2" eb="3">
      <t>ミヤ</t>
    </rPh>
    <phoneticPr fontId="2"/>
  </si>
  <si>
    <t>京橋</t>
    <rPh sb="0" eb="2">
      <t>キョウバシ</t>
    </rPh>
    <phoneticPr fontId="2"/>
  </si>
  <si>
    <t>高倉</t>
    <rPh sb="0" eb="2">
      <t>タカクラ</t>
    </rPh>
    <phoneticPr fontId="2"/>
  </si>
  <si>
    <t>大東町</t>
    <rPh sb="0" eb="1">
      <t>ダイ</t>
    </rPh>
    <rPh sb="1" eb="2">
      <t>ヒガシ</t>
    </rPh>
    <rPh sb="2" eb="3">
      <t>マチ</t>
    </rPh>
    <phoneticPr fontId="2"/>
  </si>
  <si>
    <t>都島</t>
    <rPh sb="0" eb="2">
      <t>ミヤコジマ</t>
    </rPh>
    <phoneticPr fontId="2"/>
  </si>
  <si>
    <t>【大阪市内】   旭区</t>
    <rPh sb="1" eb="3">
      <t>オオサカ</t>
    </rPh>
    <rPh sb="3" eb="5">
      <t>シナイ</t>
    </rPh>
    <rPh sb="9" eb="11">
      <t>アサヒク</t>
    </rPh>
    <phoneticPr fontId="2"/>
  </si>
  <si>
    <t>高殿</t>
    <rPh sb="0" eb="2">
      <t>タカドノ</t>
    </rPh>
    <phoneticPr fontId="2"/>
  </si>
  <si>
    <t>今市</t>
    <rPh sb="0" eb="2">
      <t>イマイチ</t>
    </rPh>
    <phoneticPr fontId="2"/>
  </si>
  <si>
    <t>森小路</t>
    <rPh sb="0" eb="1">
      <t>モリ</t>
    </rPh>
    <rPh sb="1" eb="3">
      <t>ショウジ</t>
    </rPh>
    <phoneticPr fontId="2"/>
  </si>
  <si>
    <t>新森</t>
    <rPh sb="0" eb="1">
      <t>シン</t>
    </rPh>
    <rPh sb="1" eb="2">
      <t>モリ</t>
    </rPh>
    <phoneticPr fontId="2"/>
  </si>
  <si>
    <t>赤川</t>
    <rPh sb="0" eb="2">
      <t>アカガワ</t>
    </rPh>
    <phoneticPr fontId="2"/>
  </si>
  <si>
    <t>【大阪市内】   此花区</t>
    <rPh sb="1" eb="3">
      <t>オオサカ</t>
    </rPh>
    <rPh sb="3" eb="5">
      <t>シナイ</t>
    </rPh>
    <rPh sb="9" eb="12">
      <t>コノハナク</t>
    </rPh>
    <phoneticPr fontId="2"/>
  </si>
  <si>
    <t>西九条</t>
    <rPh sb="0" eb="1">
      <t>ニシ</t>
    </rPh>
    <rPh sb="1" eb="3">
      <t>クジョウ</t>
    </rPh>
    <phoneticPr fontId="2"/>
  </si>
  <si>
    <t>此花</t>
    <rPh sb="0" eb="2">
      <t>コノハナ</t>
    </rPh>
    <phoneticPr fontId="2"/>
  </si>
  <si>
    <t>高見町</t>
    <rPh sb="0" eb="2">
      <t>タカミ</t>
    </rPh>
    <rPh sb="2" eb="3">
      <t>マチ</t>
    </rPh>
    <phoneticPr fontId="2"/>
  </si>
  <si>
    <t>このはな</t>
    <phoneticPr fontId="2"/>
  </si>
  <si>
    <t>【大阪市内】   港区</t>
    <rPh sb="1" eb="3">
      <t>オオサカ</t>
    </rPh>
    <rPh sb="3" eb="5">
      <t>シナイ</t>
    </rPh>
    <rPh sb="9" eb="11">
      <t>ミナトク</t>
    </rPh>
    <phoneticPr fontId="2"/>
  </si>
  <si>
    <t>朝潮橋</t>
    <rPh sb="0" eb="1">
      <t>アサ</t>
    </rPh>
    <rPh sb="1" eb="2">
      <t>シオ</t>
    </rPh>
    <rPh sb="2" eb="3">
      <t>バシ</t>
    </rPh>
    <phoneticPr fontId="2"/>
  </si>
  <si>
    <t>弁天町</t>
    <rPh sb="0" eb="3">
      <t>ベンテンチョウ</t>
    </rPh>
    <phoneticPr fontId="2"/>
  </si>
  <si>
    <t>【大阪市内】   大正区</t>
    <rPh sb="1" eb="3">
      <t>オオサカ</t>
    </rPh>
    <rPh sb="3" eb="5">
      <t>シナイ</t>
    </rPh>
    <rPh sb="9" eb="12">
      <t>タイショウク</t>
    </rPh>
    <phoneticPr fontId="2"/>
  </si>
  <si>
    <t>大正</t>
    <rPh sb="0" eb="2">
      <t>タイショウ</t>
    </rPh>
    <phoneticPr fontId="2"/>
  </si>
  <si>
    <t>大正南</t>
    <rPh sb="0" eb="2">
      <t>タイショウ</t>
    </rPh>
    <rPh sb="2" eb="3">
      <t>ミナミ</t>
    </rPh>
    <phoneticPr fontId="2"/>
  </si>
  <si>
    <t>大正橋</t>
    <rPh sb="0" eb="2">
      <t>タイショウ</t>
    </rPh>
    <rPh sb="2" eb="3">
      <t>バシ</t>
    </rPh>
    <phoneticPr fontId="2"/>
  </si>
  <si>
    <t>南恩加島</t>
    <rPh sb="0" eb="1">
      <t>ミナミ</t>
    </rPh>
    <rPh sb="1" eb="2">
      <t>オン</t>
    </rPh>
    <rPh sb="2" eb="4">
      <t>カシマ</t>
    </rPh>
    <phoneticPr fontId="2"/>
  </si>
  <si>
    <t>【大阪市内】   浪速区</t>
    <rPh sb="1" eb="3">
      <t>オオサカ</t>
    </rPh>
    <rPh sb="3" eb="5">
      <t>シナイ</t>
    </rPh>
    <rPh sb="9" eb="12">
      <t>ナニワク</t>
    </rPh>
    <phoneticPr fontId="2"/>
  </si>
  <si>
    <t>白鷺</t>
    <rPh sb="0" eb="2">
      <t>シラサギ</t>
    </rPh>
    <phoneticPr fontId="2"/>
  </si>
  <si>
    <t>Ｎ-京町掘</t>
    <rPh sb="2" eb="4">
      <t>キョウマチ</t>
    </rPh>
    <rPh sb="4" eb="5">
      <t>ボ</t>
    </rPh>
    <phoneticPr fontId="2"/>
  </si>
  <si>
    <t>浪速</t>
    <rPh sb="0" eb="2">
      <t>ナニワ</t>
    </rPh>
    <phoneticPr fontId="2"/>
  </si>
  <si>
    <t>恵美須町</t>
    <rPh sb="0" eb="4">
      <t>エビスマチ</t>
    </rPh>
    <phoneticPr fontId="2"/>
  </si>
  <si>
    <t>Ｙ-天美我堂</t>
    <rPh sb="2" eb="4">
      <t>アマミ</t>
    </rPh>
    <rPh sb="4" eb="5">
      <t>ワレ</t>
    </rPh>
    <rPh sb="5" eb="6">
      <t>ドウ</t>
    </rPh>
    <phoneticPr fontId="2"/>
  </si>
  <si>
    <t>Ｙ-藤井寺</t>
    <rPh sb="2" eb="5">
      <t>フジイデラ</t>
    </rPh>
    <phoneticPr fontId="2"/>
  </si>
  <si>
    <t>河内長野市</t>
    <rPh sb="0" eb="5">
      <t>カワチナガノシ</t>
    </rPh>
    <phoneticPr fontId="2"/>
  </si>
  <si>
    <t>Ａ-久野喜台</t>
    <rPh sb="2" eb="4">
      <t>クノ</t>
    </rPh>
    <rPh sb="4" eb="5">
      <t>キ</t>
    </rPh>
    <rPh sb="5" eb="6">
      <t>ダイ</t>
    </rPh>
    <phoneticPr fontId="2"/>
  </si>
  <si>
    <t>Ａ-金剛</t>
    <rPh sb="2" eb="4">
      <t>コンゴウ</t>
    </rPh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</si>
  <si>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</si>
  <si>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大阪府南部</t>
    <rPh sb="0" eb="2">
      <t>オオサカ</t>
    </rPh>
    <rPh sb="2" eb="3">
      <t>フ</t>
    </rPh>
    <rPh sb="3" eb="5">
      <t>ナンブ</t>
    </rPh>
    <phoneticPr fontId="2"/>
  </si>
  <si>
    <t>大阪府南部小計</t>
    <rPh sb="0" eb="2">
      <t>オオサカ</t>
    </rPh>
    <rPh sb="2" eb="3">
      <t>フ</t>
    </rPh>
    <rPh sb="3" eb="5">
      <t>ナンブ</t>
    </rPh>
    <rPh sb="5" eb="7">
      <t>ショウケイ</t>
    </rPh>
    <phoneticPr fontId="2"/>
  </si>
  <si>
    <t>大阪府北部小計</t>
    <rPh sb="0" eb="3">
      <t>オオサカフ</t>
    </rPh>
    <rPh sb="3" eb="4">
      <t>キタ</t>
    </rPh>
    <rPh sb="4" eb="5">
      <t>ブ</t>
    </rPh>
    <rPh sb="5" eb="7">
      <t>ショウケイ</t>
    </rPh>
    <phoneticPr fontId="2"/>
  </si>
  <si>
    <t>エリア別</t>
    <rPh sb="3" eb="4">
      <t>ベツ</t>
    </rPh>
    <phoneticPr fontId="2"/>
  </si>
  <si>
    <t>大阪府合計</t>
    <rPh sb="0" eb="2">
      <t>オオサカ</t>
    </rPh>
    <rPh sb="2" eb="3">
      <t>フ</t>
    </rPh>
    <rPh sb="3" eb="5">
      <t>ゴウケイ</t>
    </rPh>
    <phoneticPr fontId="2"/>
  </si>
  <si>
    <t xml:space="preserve">サイズ </t>
    <phoneticPr fontId="2"/>
  </si>
  <si>
    <t>堺区</t>
    <rPh sb="0" eb="1">
      <t>サカイ</t>
    </rPh>
    <rPh sb="1" eb="2">
      <t>ク</t>
    </rPh>
    <phoneticPr fontId="2"/>
  </si>
  <si>
    <t>Ａ-堺中央</t>
    <rPh sb="2" eb="3">
      <t>サカイ</t>
    </rPh>
    <rPh sb="3" eb="5">
      <t>チュウオウ</t>
    </rPh>
    <phoneticPr fontId="2"/>
  </si>
  <si>
    <t>Ｙ-堺北</t>
    <rPh sb="2" eb="3">
      <t>サカイ</t>
    </rPh>
    <rPh sb="3" eb="4">
      <t>キタ</t>
    </rPh>
    <phoneticPr fontId="2"/>
  </si>
  <si>
    <t>Ｙ-三国ヶ丘</t>
    <rPh sb="2" eb="4">
      <t>ミクニ</t>
    </rPh>
    <rPh sb="5" eb="6">
      <t>オカ</t>
    </rPh>
    <phoneticPr fontId="2"/>
  </si>
  <si>
    <t>Ａ-初芝</t>
    <rPh sb="2" eb="3">
      <t>ハツ</t>
    </rPh>
    <rPh sb="3" eb="4">
      <t>シバ</t>
    </rPh>
    <phoneticPr fontId="2"/>
  </si>
  <si>
    <t>Ａ-北野田</t>
    <rPh sb="2" eb="3">
      <t>キタ</t>
    </rPh>
    <rPh sb="3" eb="5">
      <t>ノダ</t>
    </rPh>
    <phoneticPr fontId="2"/>
  </si>
  <si>
    <t>大阪市内小計</t>
    <rPh sb="0" eb="2">
      <t>オオサカ</t>
    </rPh>
    <rPh sb="2" eb="4">
      <t>シナイ</t>
    </rPh>
    <rPh sb="4" eb="6">
      <t>ショウケイ</t>
    </rPh>
    <phoneticPr fontId="2"/>
  </si>
  <si>
    <t>Ａ-上野芝</t>
    <rPh sb="2" eb="4">
      <t>ウエノ</t>
    </rPh>
    <rPh sb="4" eb="5">
      <t>シバ</t>
    </rPh>
    <phoneticPr fontId="2"/>
  </si>
  <si>
    <t>Ｍ-鳳</t>
    <rPh sb="2" eb="3">
      <t>オオトリ</t>
    </rPh>
    <phoneticPr fontId="2"/>
  </si>
  <si>
    <t>Ｙ-津久野</t>
    <rPh sb="2" eb="5">
      <t>ツクノ</t>
    </rPh>
    <phoneticPr fontId="2"/>
  </si>
  <si>
    <t>南区</t>
    <rPh sb="0" eb="2">
      <t>ミナミク</t>
    </rPh>
    <phoneticPr fontId="2"/>
  </si>
  <si>
    <t>Ｙ-南金岡</t>
    <rPh sb="2" eb="3">
      <t>ミナミ</t>
    </rPh>
    <rPh sb="3" eb="5">
      <t>カナオカ</t>
    </rPh>
    <phoneticPr fontId="2"/>
  </si>
  <si>
    <t>Ｙ-中百舌鳥</t>
    <rPh sb="2" eb="6">
      <t>ナカモズ</t>
    </rPh>
    <phoneticPr fontId="2"/>
  </si>
  <si>
    <t>Ｙ-北花田</t>
    <rPh sb="2" eb="3">
      <t>キタ</t>
    </rPh>
    <rPh sb="3" eb="4">
      <t>ハナ</t>
    </rPh>
    <rPh sb="4" eb="5">
      <t>タ</t>
    </rPh>
    <phoneticPr fontId="2"/>
  </si>
  <si>
    <t>Ｙ-堺市駅前</t>
    <rPh sb="2" eb="3">
      <t>サカイ</t>
    </rPh>
    <rPh sb="3" eb="4">
      <t>シ</t>
    </rPh>
    <rPh sb="4" eb="5">
      <t>エキ</t>
    </rPh>
    <rPh sb="5" eb="6">
      <t>マエ</t>
    </rPh>
    <phoneticPr fontId="2"/>
  </si>
  <si>
    <t>美原区</t>
    <rPh sb="0" eb="2">
      <t>ミハラ</t>
    </rPh>
    <rPh sb="2" eb="3">
      <t>ク</t>
    </rPh>
    <phoneticPr fontId="2"/>
  </si>
  <si>
    <t>高石市</t>
    <rPh sb="0" eb="1">
      <t>タカ</t>
    </rPh>
    <rPh sb="1" eb="2">
      <t>イシ</t>
    </rPh>
    <rPh sb="2" eb="3">
      <t>シ</t>
    </rPh>
    <phoneticPr fontId="2"/>
  </si>
  <si>
    <t>喜志</t>
    <rPh sb="0" eb="2">
      <t>キシ</t>
    </rPh>
    <phoneticPr fontId="2"/>
  </si>
  <si>
    <t>難波</t>
    <rPh sb="0" eb="2">
      <t>ナンバ</t>
    </rPh>
    <phoneticPr fontId="2"/>
  </si>
  <si>
    <t>桜川</t>
    <rPh sb="0" eb="2">
      <t>サクラガワ</t>
    </rPh>
    <phoneticPr fontId="2"/>
  </si>
  <si>
    <t>日本橋</t>
    <rPh sb="0" eb="3">
      <t>ニホンバシ</t>
    </rPh>
    <phoneticPr fontId="2"/>
  </si>
  <si>
    <t>【大阪市内】   阿倍野区</t>
    <rPh sb="1" eb="5">
      <t>オオサカシナイ</t>
    </rPh>
    <rPh sb="9" eb="13">
      <t>アベノク</t>
    </rPh>
    <phoneticPr fontId="2"/>
  </si>
  <si>
    <t>阿倍野</t>
    <rPh sb="0" eb="3">
      <t>アベノ</t>
    </rPh>
    <phoneticPr fontId="2"/>
  </si>
  <si>
    <t>西田辺</t>
    <rPh sb="0" eb="1">
      <t>ニシ</t>
    </rPh>
    <rPh sb="1" eb="3">
      <t>タナベ</t>
    </rPh>
    <phoneticPr fontId="2"/>
  </si>
  <si>
    <t>あべの南</t>
    <rPh sb="3" eb="4">
      <t>ミナミ</t>
    </rPh>
    <phoneticPr fontId="2"/>
  </si>
  <si>
    <t>【大阪市内】   西成区</t>
    <rPh sb="1" eb="3">
      <t>オオサカ</t>
    </rPh>
    <rPh sb="3" eb="5">
      <t>シナイ</t>
    </rPh>
    <rPh sb="9" eb="11">
      <t>ニシナリ</t>
    </rPh>
    <rPh sb="11" eb="12">
      <t>ク</t>
    </rPh>
    <phoneticPr fontId="2"/>
  </si>
  <si>
    <t>（９）</t>
  </si>
  <si>
    <t>医療関係、医薬品、健康食品、エステティック等の広告</t>
  </si>
  <si>
    <t>千林大宮</t>
    <rPh sb="0" eb="1">
      <t>セン</t>
    </rPh>
    <rPh sb="1" eb="2">
      <t>ハヤシ</t>
    </rPh>
    <rPh sb="2" eb="4">
      <t>オオミヤ</t>
    </rPh>
    <phoneticPr fontId="2"/>
  </si>
  <si>
    <t>広告基準」を設けております。その基準に基づき当社は、下記のような 折込広告は</t>
  </si>
  <si>
    <t>①</t>
  </si>
  <si>
    <t>医業・歯科医業・病院・診療所・助産所などの広告は、医療法に定められた事項以外</t>
  </si>
  <si>
    <t>取り扱わないことにしています。</t>
  </si>
  <si>
    <t>　</t>
  </si>
  <si>
    <t>は広告できない。あん摩業・マッサージ業、柔道整復業などについても関連法規に定</t>
  </si>
  <si>
    <t>（１）</t>
  </si>
  <si>
    <t>責任の所在及び内容が不明確な広告</t>
  </si>
  <si>
    <t>められた事項以外は広告できない。</t>
  </si>
  <si>
    <t>広告についての責任は表現を含め広告主にある。したがって責任の所在を明らかにす</t>
  </si>
  <si>
    <t>②</t>
  </si>
  <si>
    <t>医薬品・医薬部外品・化粧品・医療用具・特定疾病用の医療品・承認前の医薬品等の</t>
  </si>
  <si>
    <t>るため、広告主名、所在地、連絡先が記載されていない広告は、受け付けない。</t>
  </si>
  <si>
    <t>広告は、「医薬品等適正広告基準」の範囲内でなければ広告できない。</t>
  </si>
  <si>
    <t>広告を見ても広告の意味、目的が分からないものは受け付けない。</t>
  </si>
  <si>
    <t>③</t>
  </si>
  <si>
    <t>健康食品の広告は医薬品的な効能・効果を表示できない。</t>
  </si>
  <si>
    <t>（２）</t>
  </si>
  <si>
    <t>虚偽または誤認されるおそれがある広告</t>
  </si>
  <si>
    <t>④</t>
  </si>
  <si>
    <t>美顔・そう身等エステ関連広告については、「特定商取引法」で誇大広告の禁止が定</t>
  </si>
  <si>
    <t>められている。このほか、日本エステテッィク業協会が「エステティック業界におけ</t>
  </si>
  <si>
    <t>かる」「絶対にやせる」等の断定的表現を何の裏付けもなく使用し、読者に不利益を</t>
  </si>
  <si>
    <t>る事業活動の適正化に関する自主規制」で広告表示に禁止事項を定めている。</t>
  </si>
  <si>
    <t>与える広告は、受け付けない。</t>
  </si>
  <si>
    <t>（10）</t>
  </si>
  <si>
    <t>金融関係の広告</t>
  </si>
  <si>
    <t>（３）</t>
  </si>
  <si>
    <t>公序良俗を乱す表現の広告</t>
  </si>
  <si>
    <t>消費者金融広告等の貸金業の広告では、「貸金業の規制等に関する法律」で利率や登</t>
  </si>
  <si>
    <t>露骨な性表現あるいは暴力や犯罪を肯定、礼賛する広告、麻薬・覚醒剤の使用を賛美</t>
  </si>
  <si>
    <t>高槻市</t>
    <rPh sb="0" eb="2">
      <t>タカツキ</t>
    </rPh>
    <rPh sb="2" eb="3">
      <t>シ</t>
    </rPh>
    <phoneticPr fontId="2"/>
  </si>
  <si>
    <t>摂津市</t>
    <rPh sb="0" eb="2">
      <t>セッツ</t>
    </rPh>
    <rPh sb="2" eb="3">
      <t>シ</t>
    </rPh>
    <phoneticPr fontId="2"/>
  </si>
  <si>
    <t>Ｍ-正雀</t>
    <rPh sb="2" eb="3">
      <t>タダ</t>
    </rPh>
    <rPh sb="3" eb="4">
      <t>スズメ</t>
    </rPh>
    <phoneticPr fontId="2"/>
  </si>
  <si>
    <t>Ｍ-千里丘</t>
    <rPh sb="2" eb="4">
      <t>センリ</t>
    </rPh>
    <rPh sb="4" eb="5">
      <t>オカ</t>
    </rPh>
    <phoneticPr fontId="2"/>
  </si>
  <si>
    <t>Ｍ-千里丘東</t>
    <rPh sb="2" eb="4">
      <t>センリ</t>
    </rPh>
    <rPh sb="4" eb="5">
      <t>オカ</t>
    </rPh>
    <rPh sb="5" eb="6">
      <t>ヒガシ</t>
    </rPh>
    <phoneticPr fontId="2"/>
  </si>
  <si>
    <t>Ｙ-千里丘東</t>
    <rPh sb="2" eb="4">
      <t>センリ</t>
    </rPh>
    <rPh sb="4" eb="5">
      <t>オカ</t>
    </rPh>
    <rPh sb="5" eb="6">
      <t>ヒガシ</t>
    </rPh>
    <phoneticPr fontId="2"/>
  </si>
  <si>
    <t>Ｙ-千里丘</t>
    <rPh sb="2" eb="4">
      <t>センリ</t>
    </rPh>
    <rPh sb="4" eb="5">
      <t>オカ</t>
    </rPh>
    <phoneticPr fontId="2"/>
  </si>
  <si>
    <t>録番号など必要な表示事項を記載するように定められている。また、貸付条件につい</t>
  </si>
  <si>
    <t>したり、その他残虐な表現等青少年に有害とみられる広告は受け付けない。</t>
  </si>
  <si>
    <t>て誇大広告が禁止されている。</t>
  </si>
  <si>
    <t>（４）</t>
  </si>
  <si>
    <t>不動産広告</t>
  </si>
  <si>
    <t>抵当証券業、投資顧問業、金融先物取引業などの広告については関連法規によって虚</t>
  </si>
  <si>
    <t>不動産広告の表示は、「宅地建物取引業法」などの関係法規、不動産公正取引協議会</t>
  </si>
  <si>
    <t>偽誇大、誤認期待の表現を禁止しているほか、必要表示（注意表示）事項が定められ</t>
  </si>
  <si>
    <t>の「不動産の表示に関する公正競争規約」による。</t>
  </si>
  <si>
    <t>ている。</t>
  </si>
  <si>
    <t>（５）</t>
  </si>
  <si>
    <t>求人広告</t>
  </si>
  <si>
    <t>無審査、無条件の表示があるものは受け付けない。</t>
  </si>
  <si>
    <t>「労働基準法」「職業安定法」は、求人にあたって労働条件を明示しなければならな</t>
  </si>
  <si>
    <t>フリーダイヤルの場合は、本社または営業所の所在地の明示が必要。</t>
  </si>
  <si>
    <t>いとしており、雇用主の名称・所在地・連絡先、企業の業種と就業する職種等必要な</t>
  </si>
  <si>
    <t>⑤</t>
  </si>
  <si>
    <t>金融チラシの中に、風俗関連が記載されているものに関しては、受け付けない。</t>
  </si>
  <si>
    <t>事項が表示されていない広告は、受け付けない。またチラシ作成にあたり、「男女雇</t>
  </si>
  <si>
    <t>（11）</t>
  </si>
  <si>
    <t>その他</t>
  </si>
  <si>
    <t>用機会均等法」によって、例外を除き、男女による差別を禁じる規定があるので、表</t>
  </si>
  <si>
    <t>前記以外の事項でも、公序良俗に反したり、反社会的な表現の広告、誹謗中傷の恐れ</t>
  </si>
  <si>
    <t>記については注意する。高齢者の雇用促進を図ることを目的とした「雇用対策法」の</t>
  </si>
  <si>
    <t>のある広告あるいは迷信などに頼る非化学的な広告などは、発行本社と協議のうえ受</t>
  </si>
  <si>
    <t>趣旨にかんがみ、年齢による差別も留意する。</t>
  </si>
  <si>
    <t>け付けるかどうかを決定する。その他、独占禁止法、景品表示法、関係告示、規約を</t>
  </si>
  <si>
    <t>履歴書用紙付求人広告は、履歴書に本籍地、家族関係、宗教・支持政党等、差別につ</t>
  </si>
  <si>
    <t>順守する。</t>
  </si>
  <si>
    <t>ながる可能性がある項目があるものは受け付けない。</t>
  </si>
  <si>
    <t>求人広告に見せかけて講習料をとったり、物品・書籍等を売りつけたりするのが目的</t>
  </si>
  <si>
    <t>である広告、詐欺商法に注意する。</t>
  </si>
  <si>
    <t>に整理して作成したものです。読者数の変化や折込作業の関係で配達部数と若干異な</t>
  </si>
  <si>
    <t>風俗関連等の売春を勧誘・周旋するとみられる広告は受け付けない。</t>
  </si>
  <si>
    <t>る場合がございます。</t>
  </si>
  <si>
    <t>（６）</t>
  </si>
  <si>
    <t>名誉毀損、プライバシーの侵害等のおそれのある広告</t>
  </si>
  <si>
    <t>天災・災害等の事故や、新聞制作の遅れなどの場合、やむを得ず折込不可能となるこ</t>
  </si>
  <si>
    <t>広告表現において名誉毀損、ﾌﾟﾗｲﾊﾞｼｰの侵害、信用棄損・営業妨害となるおそれがあ</t>
  </si>
  <si>
    <t>とがありますのでご了承ください。</t>
  </si>
  <si>
    <t>るもの・広告主の一方的な主張とみなされる広告は受け付けない。</t>
  </si>
  <si>
    <t>折込広告搬入時後の中止及び変更は、業務が混乱し、間違いが起きやすくなりますの</t>
  </si>
  <si>
    <t>（７）</t>
  </si>
  <si>
    <t>選挙運動ﾋﾞﾗ等</t>
  </si>
  <si>
    <t>で、お断りさせていただきます。</t>
  </si>
  <si>
    <t>選挙運動のための折込広告は、「公職選挙法」の要件を備えたもの以外は頒布するこ</t>
  </si>
  <si>
    <t>販売所に対して折込作業に際しては、細心の注意を払うよう指導しておりますが、偶</t>
  </si>
  <si>
    <t>とができない。</t>
  </si>
  <si>
    <t>然のモレ・ダブリ等はご容赦ください。</t>
  </si>
  <si>
    <t>事前運動とみなされるおそれがある広告については、発行本社と協議のうえ受け付け</t>
  </si>
  <si>
    <t xml:space="preserve"> </t>
    <phoneticPr fontId="2"/>
  </si>
  <si>
    <t>タイトル</t>
    <phoneticPr fontId="2"/>
  </si>
  <si>
    <t>サイズ     　　  　</t>
    <phoneticPr fontId="2"/>
  </si>
  <si>
    <t>【北・中・南河内】   門真市</t>
    <rPh sb="1" eb="2">
      <t>キタ</t>
    </rPh>
    <rPh sb="3" eb="4">
      <t>ナカ</t>
    </rPh>
    <rPh sb="5" eb="6">
      <t>ミナミ</t>
    </rPh>
    <rPh sb="6" eb="8">
      <t>カワチ</t>
    </rPh>
    <rPh sb="12" eb="15">
      <t>カドマシ</t>
    </rPh>
    <phoneticPr fontId="2"/>
  </si>
  <si>
    <t>門真</t>
    <rPh sb="0" eb="2">
      <t>カドマ</t>
    </rPh>
    <phoneticPr fontId="2"/>
  </si>
  <si>
    <t>大和田</t>
    <rPh sb="0" eb="2">
      <t>ヤマト</t>
    </rPh>
    <rPh sb="2" eb="3">
      <t>タ</t>
    </rPh>
    <phoneticPr fontId="2"/>
  </si>
  <si>
    <t>門真南</t>
    <rPh sb="0" eb="2">
      <t>カドマ</t>
    </rPh>
    <rPh sb="2" eb="3">
      <t>ミナミ</t>
    </rPh>
    <phoneticPr fontId="2"/>
  </si>
  <si>
    <t>門真東</t>
    <rPh sb="0" eb="2">
      <t>カドマ</t>
    </rPh>
    <rPh sb="2" eb="3">
      <t>ヒガシ</t>
    </rPh>
    <phoneticPr fontId="2"/>
  </si>
  <si>
    <t>古川橋</t>
    <rPh sb="0" eb="2">
      <t>フルカワ</t>
    </rPh>
    <rPh sb="2" eb="3">
      <t>バシ</t>
    </rPh>
    <phoneticPr fontId="2"/>
  </si>
  <si>
    <t>古川橋南</t>
    <rPh sb="0" eb="2">
      <t>フルカワ</t>
    </rPh>
    <rPh sb="2" eb="3">
      <t>バシ</t>
    </rPh>
    <rPh sb="3" eb="4">
      <t>ミナミ</t>
    </rPh>
    <phoneticPr fontId="2"/>
  </si>
  <si>
    <t>【北・中・南河内】   守口市</t>
    <rPh sb="1" eb="2">
      <t>キタ</t>
    </rPh>
    <rPh sb="3" eb="4">
      <t>ナカ</t>
    </rPh>
    <rPh sb="5" eb="6">
      <t>ミナミ</t>
    </rPh>
    <rPh sb="6" eb="8">
      <t>カワチ</t>
    </rPh>
    <rPh sb="12" eb="14">
      <t>モリグチ</t>
    </rPh>
    <rPh sb="14" eb="15">
      <t>シ</t>
    </rPh>
    <phoneticPr fontId="2"/>
  </si>
  <si>
    <t>守口</t>
    <rPh sb="0" eb="2">
      <t>モリグチ</t>
    </rPh>
    <phoneticPr fontId="2"/>
  </si>
  <si>
    <t>守口南</t>
    <rPh sb="0" eb="2">
      <t>モリグチ</t>
    </rPh>
    <rPh sb="2" eb="3">
      <t>ミナミ</t>
    </rPh>
    <phoneticPr fontId="2"/>
  </si>
  <si>
    <t>るかどうかを決定する。</t>
  </si>
  <si>
    <t>（８）</t>
  </si>
  <si>
    <t>弁護士の広告</t>
  </si>
  <si>
    <t>弁護士および外国特別会員の業務広告は日本弁護士連合会の「弁護士の業務広告に関</t>
  </si>
  <si>
    <t>する規定」「外国特別会員の業務広告に関する規定」により定められた範囲内でなけ</t>
  </si>
  <si>
    <t>れば広告できない。</t>
  </si>
  <si>
    <t>阪急茨木</t>
    <rPh sb="0" eb="2">
      <t>ハンキュウ</t>
    </rPh>
    <rPh sb="2" eb="4">
      <t>イバラキ</t>
    </rPh>
    <phoneticPr fontId="2"/>
  </si>
  <si>
    <r>
      <t>1.</t>
    </r>
    <r>
      <rPr>
        <sz val="12"/>
        <rFont val="HG丸ｺﾞｼｯｸM-PRO"/>
        <family val="3"/>
        <charset val="128"/>
      </rPr>
      <t>日本新聞協会に加盟する新聞社とその販売店は、折込広告の社会的影響を考慮して「折込</t>
    </r>
    <rPh sb="40" eb="42">
      <t>オリコミ</t>
    </rPh>
    <phoneticPr fontId="2"/>
  </si>
  <si>
    <t>大阪市浪速区</t>
    <rPh sb="0" eb="3">
      <t>オオサカシ</t>
    </rPh>
    <rPh sb="3" eb="5">
      <t>ナニワ</t>
    </rPh>
    <rPh sb="5" eb="6">
      <t>ク</t>
    </rPh>
    <phoneticPr fontId="2"/>
  </si>
  <si>
    <t>大阪市阿倍野区</t>
    <rPh sb="0" eb="2">
      <t>オオサカ</t>
    </rPh>
    <rPh sb="2" eb="3">
      <t>シ</t>
    </rPh>
    <rPh sb="3" eb="6">
      <t>アベノ</t>
    </rPh>
    <rPh sb="6" eb="7">
      <t>ク</t>
    </rPh>
    <phoneticPr fontId="2"/>
  </si>
  <si>
    <t>Ｍ-阿倍野</t>
    <rPh sb="2" eb="5">
      <t>アベノ</t>
    </rPh>
    <phoneticPr fontId="2"/>
  </si>
  <si>
    <t>Ａ-泉尾</t>
    <rPh sb="2" eb="3">
      <t>イズミ</t>
    </rPh>
    <rPh sb="3" eb="4">
      <t>オ</t>
    </rPh>
    <phoneticPr fontId="2"/>
  </si>
  <si>
    <t>Ｙ-あべの南</t>
    <rPh sb="5" eb="6">
      <t>ミナミ</t>
    </rPh>
    <phoneticPr fontId="2"/>
  </si>
  <si>
    <t>大阪市阿倍野区</t>
    <rPh sb="0" eb="3">
      <t>オオサカシ</t>
    </rPh>
    <rPh sb="3" eb="6">
      <t>アベノ</t>
    </rPh>
    <rPh sb="6" eb="7">
      <t>ク</t>
    </rPh>
    <phoneticPr fontId="2"/>
  </si>
  <si>
    <t>大阪市西成区</t>
    <rPh sb="0" eb="2">
      <t>オオサカ</t>
    </rPh>
    <rPh sb="2" eb="3">
      <t>シ</t>
    </rPh>
    <rPh sb="3" eb="4">
      <t>ニシ</t>
    </rPh>
    <rPh sb="4" eb="5">
      <t>ナ</t>
    </rPh>
    <rPh sb="5" eb="6">
      <t>ク</t>
    </rPh>
    <phoneticPr fontId="2"/>
  </si>
  <si>
    <t>Ｙ-津守</t>
    <rPh sb="2" eb="3">
      <t>ツ</t>
    </rPh>
    <rPh sb="3" eb="4">
      <t>モリ</t>
    </rPh>
    <phoneticPr fontId="2"/>
  </si>
  <si>
    <t>Ｙ-天下茶屋</t>
    <rPh sb="2" eb="6">
      <t>テンガチャヤ</t>
    </rPh>
    <phoneticPr fontId="2"/>
  </si>
  <si>
    <t>大阪市天王寺区</t>
    <rPh sb="0" eb="2">
      <t>オオサカ</t>
    </rPh>
    <rPh sb="2" eb="3">
      <t>シ</t>
    </rPh>
    <rPh sb="3" eb="6">
      <t>テンノウジ</t>
    </rPh>
    <rPh sb="6" eb="7">
      <t>ク</t>
    </rPh>
    <phoneticPr fontId="2"/>
  </si>
  <si>
    <t>大阪市西成区</t>
    <rPh sb="0" eb="3">
      <t>オオサカシ</t>
    </rPh>
    <rPh sb="3" eb="5">
      <t>ニシナリ</t>
    </rPh>
    <rPh sb="5" eb="6">
      <t>ク</t>
    </rPh>
    <phoneticPr fontId="2"/>
  </si>
  <si>
    <r>
      <t>2</t>
    </r>
    <r>
      <rPr>
        <b/>
        <sz val="14"/>
        <rFont val="HG丸ｺﾞｼｯｸM-PRO"/>
        <family val="3"/>
        <charset val="128"/>
      </rPr>
      <t>．</t>
    </r>
    <r>
      <rPr>
        <sz val="12"/>
        <rFont val="HG丸ｺﾞｼｯｸM-PRO"/>
        <family val="3"/>
        <charset val="128"/>
      </rPr>
      <t>折込広告を取扱うにあたり、次の点についてご了承ください</t>
    </r>
    <rPh sb="2" eb="4">
      <t>オリコミ</t>
    </rPh>
    <rPh sb="4" eb="6">
      <t>コウコク</t>
    </rPh>
    <rPh sb="7" eb="9">
      <t>トリアツカ</t>
    </rPh>
    <rPh sb="15" eb="16">
      <t>ツギ</t>
    </rPh>
    <rPh sb="17" eb="18">
      <t>テン</t>
    </rPh>
    <rPh sb="23" eb="25">
      <t>リョウショウ</t>
    </rPh>
    <phoneticPr fontId="2"/>
  </si>
  <si>
    <t>折込部数</t>
    <rPh sb="0" eb="2">
      <t>オリコミ</t>
    </rPh>
    <rPh sb="2" eb="4">
      <t>ブスウ</t>
    </rPh>
    <phoneticPr fontId="2"/>
  </si>
  <si>
    <t>販売店</t>
    <rPh sb="0" eb="3">
      <t>ハンバイテン</t>
    </rPh>
    <phoneticPr fontId="2"/>
  </si>
  <si>
    <t>淀川</t>
    <rPh sb="0" eb="2">
      <t>ヨドガワ</t>
    </rPh>
    <phoneticPr fontId="2"/>
  </si>
  <si>
    <t>三国</t>
    <rPh sb="0" eb="2">
      <t>ミクニ</t>
    </rPh>
    <phoneticPr fontId="2"/>
  </si>
  <si>
    <t>Ｙ-羽曳野</t>
    <rPh sb="2" eb="5">
      <t>ハビキノ</t>
    </rPh>
    <phoneticPr fontId="2"/>
  </si>
  <si>
    <t>南河内郡</t>
    <rPh sb="0" eb="1">
      <t>ミナミ</t>
    </rPh>
    <rPh sb="1" eb="3">
      <t>カワウチ</t>
    </rPh>
    <rPh sb="3" eb="4">
      <t>グン</t>
    </rPh>
    <phoneticPr fontId="2"/>
  </si>
  <si>
    <t>Ｍ-岸和田</t>
    <rPh sb="2" eb="5">
      <t>キシワダ</t>
    </rPh>
    <phoneticPr fontId="2"/>
  </si>
  <si>
    <t>Ｎ-高麗橋</t>
    <rPh sb="2" eb="3">
      <t>タカ</t>
    </rPh>
    <rPh sb="3" eb="4">
      <t>レイ</t>
    </rPh>
    <rPh sb="4" eb="5">
      <t>ハシ</t>
    </rPh>
    <phoneticPr fontId="2"/>
  </si>
  <si>
    <t>Ｎ-心斎橋</t>
    <rPh sb="2" eb="5">
      <t>シンサイバシ</t>
    </rPh>
    <phoneticPr fontId="2"/>
  </si>
  <si>
    <t>Ｎ-天満</t>
    <rPh sb="2" eb="4">
      <t>テンマ</t>
    </rPh>
    <phoneticPr fontId="2"/>
  </si>
  <si>
    <t>Ｎ-堂島</t>
    <rPh sb="2" eb="3">
      <t>ドウ</t>
    </rPh>
    <rPh sb="3" eb="4">
      <t>シマ</t>
    </rPh>
    <phoneticPr fontId="2"/>
  </si>
  <si>
    <t>Ｎ-北梅田</t>
    <rPh sb="2" eb="3">
      <t>キタ</t>
    </rPh>
    <rPh sb="3" eb="5">
      <t>ウメダ</t>
    </rPh>
    <phoneticPr fontId="2"/>
  </si>
  <si>
    <t>新大阪</t>
    <rPh sb="0" eb="3">
      <t>シンオオサカ</t>
    </rPh>
    <phoneticPr fontId="2"/>
  </si>
  <si>
    <t>東三国</t>
    <rPh sb="0" eb="1">
      <t>ヒガシ</t>
    </rPh>
    <rPh sb="1" eb="3">
      <t>ミクニ</t>
    </rPh>
    <phoneticPr fontId="2"/>
  </si>
  <si>
    <t>十三</t>
    <rPh sb="0" eb="2">
      <t>ジュウソウ</t>
    </rPh>
    <phoneticPr fontId="2"/>
  </si>
  <si>
    <t>【大阪市内】   東淀川区</t>
    <rPh sb="1" eb="3">
      <t>オオサカ</t>
    </rPh>
    <rPh sb="3" eb="4">
      <t>シ</t>
    </rPh>
    <rPh sb="4" eb="5">
      <t>ナイ</t>
    </rPh>
    <rPh sb="9" eb="10">
      <t>ヒガシ</t>
    </rPh>
    <rPh sb="10" eb="12">
      <t>ヨドガワ</t>
    </rPh>
    <rPh sb="12" eb="13">
      <t>ク</t>
    </rPh>
    <phoneticPr fontId="2"/>
  </si>
  <si>
    <t>上新庄</t>
    <rPh sb="0" eb="1">
      <t>ウエ</t>
    </rPh>
    <rPh sb="1" eb="3">
      <t>シンジョウ</t>
    </rPh>
    <phoneticPr fontId="2"/>
  </si>
  <si>
    <t>Ａ朝日新聞</t>
    <rPh sb="1" eb="3">
      <t>アサヒ</t>
    </rPh>
    <rPh sb="3" eb="5">
      <t>シンブン</t>
    </rPh>
    <phoneticPr fontId="2"/>
  </si>
  <si>
    <t>販売店</t>
    <rPh sb="0" eb="2">
      <t>ハンバイショ</t>
    </rPh>
    <rPh sb="2" eb="3">
      <t>テン</t>
    </rPh>
    <phoneticPr fontId="2"/>
  </si>
  <si>
    <t>折込部数</t>
    <rPh sb="0" eb="2">
      <t>オリコミ</t>
    </rPh>
    <rPh sb="2" eb="4">
      <t>ブスウ</t>
    </rPh>
    <phoneticPr fontId="2"/>
  </si>
  <si>
    <t>請求先</t>
    <rPh sb="0" eb="3">
      <t>セイキュウサキ</t>
    </rPh>
    <phoneticPr fontId="2"/>
  </si>
  <si>
    <t>折込日</t>
  </si>
  <si>
    <t/>
  </si>
  <si>
    <t>サイズ</t>
  </si>
  <si>
    <t>折込部数</t>
  </si>
  <si>
    <t xml:space="preserve">   地 区 名</t>
  </si>
  <si>
    <t>部  数</t>
  </si>
  <si>
    <t xml:space="preserve">  総　合　計</t>
  </si>
  <si>
    <t>　　備　考</t>
  </si>
  <si>
    <t>　</t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</si>
  <si>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</si>
  <si>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</si>
  <si>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</si>
  <si>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</si>
  <si>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折込部数</t>
    <rPh sb="0" eb="2">
      <t>オリコミ</t>
    </rPh>
    <rPh sb="2" eb="4">
      <t>ブスウ</t>
    </rPh>
    <phoneticPr fontId="2"/>
  </si>
  <si>
    <t>折込部数</t>
    <rPh sb="0" eb="2">
      <t>オリコミ</t>
    </rPh>
    <rPh sb="2" eb="3">
      <t>ブ</t>
    </rPh>
    <rPh sb="3" eb="4">
      <t>スウ</t>
    </rPh>
    <phoneticPr fontId="2"/>
  </si>
  <si>
    <t>頁</t>
    <rPh sb="0" eb="1">
      <t>ページ</t>
    </rPh>
    <phoneticPr fontId="2"/>
  </si>
  <si>
    <t>配布</t>
    <rPh sb="0" eb="2">
      <t>ハイフ</t>
    </rPh>
    <phoneticPr fontId="2"/>
  </si>
  <si>
    <t>枚数</t>
    <rPh sb="0" eb="2">
      <t>マイスウ</t>
    </rPh>
    <phoneticPr fontId="2"/>
  </si>
  <si>
    <t>サイズ     　　  　</t>
    <phoneticPr fontId="2"/>
  </si>
  <si>
    <t xml:space="preserve"> </t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</si>
  <si>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</si>
  <si>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</si>
  <si>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千里上新田</t>
    <rPh sb="0" eb="2">
      <t>センリ</t>
    </rPh>
    <rPh sb="2" eb="3">
      <t>ウエ</t>
    </rPh>
    <rPh sb="3" eb="5">
      <t>シンデン</t>
    </rPh>
    <phoneticPr fontId="2"/>
  </si>
  <si>
    <t>Ｎｏ．</t>
  </si>
  <si>
    <t xml:space="preserve"> </t>
  </si>
  <si>
    <t>広告主</t>
  </si>
  <si>
    <t>請求先</t>
  </si>
  <si>
    <t>担当</t>
  </si>
  <si>
    <t>タイトル</t>
  </si>
  <si>
    <t>配布</t>
  </si>
  <si>
    <t>搬入・荷受</t>
  </si>
  <si>
    <t>枚数</t>
  </si>
  <si>
    <t>（備考）</t>
  </si>
  <si>
    <t>販売店</t>
  </si>
  <si>
    <t>部数</t>
  </si>
  <si>
    <t>注</t>
  </si>
  <si>
    <t>合計</t>
  </si>
  <si>
    <r>
      <t>株式会社　</t>
    </r>
    <r>
      <rPr>
        <sz val="11"/>
        <rFont val="ＭＳ Ｐゴシック"/>
        <family val="3"/>
        <charset val="128"/>
      </rPr>
      <t>神戸新聞総合折込</t>
    </r>
    <rPh sb="0" eb="2">
      <t>カブシキ</t>
    </rPh>
    <rPh sb="2" eb="4">
      <t>カイシャ</t>
    </rPh>
    <rPh sb="5" eb="9">
      <t>コウベシンブン</t>
    </rPh>
    <rPh sb="9" eb="11">
      <t>ソウゴウ</t>
    </rPh>
    <rPh sb="11" eb="13">
      <t>オリコミ</t>
    </rPh>
    <phoneticPr fontId="2"/>
  </si>
  <si>
    <t>小計</t>
    <rPh sb="0" eb="2">
      <t>ショウケイ</t>
    </rPh>
    <phoneticPr fontId="2"/>
  </si>
  <si>
    <t xml:space="preserve"> </t>
    <phoneticPr fontId="2"/>
  </si>
  <si>
    <t>小計</t>
    <rPh sb="0" eb="2">
      <t>ショウケイ</t>
    </rPh>
    <phoneticPr fontId="2"/>
  </si>
  <si>
    <t>【大阪市内】   中央区</t>
    <rPh sb="1" eb="4">
      <t>オオサカシ</t>
    </rPh>
    <rPh sb="4" eb="5">
      <t>ナイ</t>
    </rPh>
    <rPh sb="9" eb="12">
      <t>チュウオウク</t>
    </rPh>
    <phoneticPr fontId="2"/>
  </si>
  <si>
    <t>合売</t>
    <rPh sb="0" eb="1">
      <t>ゴウ</t>
    </rPh>
    <rPh sb="1" eb="2">
      <t>バイ</t>
    </rPh>
    <phoneticPr fontId="2"/>
  </si>
  <si>
    <t>心斎橋</t>
    <rPh sb="0" eb="3">
      <t>シンサイバシ</t>
    </rPh>
    <phoneticPr fontId="2"/>
  </si>
  <si>
    <t>谷町</t>
    <rPh sb="0" eb="1">
      <t>タニ</t>
    </rPh>
    <rPh sb="1" eb="2">
      <t>マチ</t>
    </rPh>
    <phoneticPr fontId="2"/>
  </si>
  <si>
    <t>天神橋</t>
    <rPh sb="0" eb="3">
      <t>テンジンバシ</t>
    </rPh>
    <phoneticPr fontId="2"/>
  </si>
  <si>
    <t>島之内</t>
    <rPh sb="0" eb="3">
      <t>シマノウチ</t>
    </rPh>
    <phoneticPr fontId="2"/>
  </si>
  <si>
    <t>上町</t>
    <rPh sb="0" eb="2">
      <t>ウエマチ</t>
    </rPh>
    <phoneticPr fontId="2"/>
  </si>
  <si>
    <t>北浜平野町</t>
    <rPh sb="0" eb="2">
      <t>キタハマ</t>
    </rPh>
    <rPh sb="2" eb="5">
      <t>ヒラノマチ</t>
    </rPh>
    <phoneticPr fontId="2"/>
  </si>
  <si>
    <t>本町</t>
    <rPh sb="0" eb="2">
      <t>ホンマチ</t>
    </rPh>
    <phoneticPr fontId="2"/>
  </si>
  <si>
    <t>【大阪市内】   西区</t>
    <rPh sb="1" eb="3">
      <t>オオサカ</t>
    </rPh>
    <rPh sb="3" eb="4">
      <t>シ</t>
    </rPh>
    <rPh sb="4" eb="5">
      <t>ナイ</t>
    </rPh>
    <rPh sb="9" eb="11">
      <t>ニシク</t>
    </rPh>
    <phoneticPr fontId="2"/>
  </si>
  <si>
    <t>九条</t>
    <rPh sb="0" eb="2">
      <t>クジョウ</t>
    </rPh>
    <phoneticPr fontId="2"/>
  </si>
  <si>
    <t>京町堀</t>
    <rPh sb="0" eb="2">
      <t>キョウマチ</t>
    </rPh>
    <rPh sb="2" eb="3">
      <t>ホリ</t>
    </rPh>
    <phoneticPr fontId="2"/>
  </si>
  <si>
    <t>新町</t>
    <rPh sb="0" eb="2">
      <t>シンマチ</t>
    </rPh>
    <phoneticPr fontId="2"/>
  </si>
  <si>
    <t>西</t>
    <rPh sb="0" eb="1">
      <t>ニシ</t>
    </rPh>
    <phoneticPr fontId="2"/>
  </si>
  <si>
    <t>【大阪市内】   西淀川区</t>
    <rPh sb="1" eb="3">
      <t>オオサカ</t>
    </rPh>
    <rPh sb="3" eb="4">
      <t>シ</t>
    </rPh>
    <rPh sb="4" eb="5">
      <t>ナイ</t>
    </rPh>
    <rPh sb="9" eb="10">
      <t>ニシ</t>
    </rPh>
    <rPh sb="10" eb="13">
      <t>ヨドガワク</t>
    </rPh>
    <phoneticPr fontId="2"/>
  </si>
  <si>
    <t>西淀西</t>
    <rPh sb="0" eb="1">
      <t>ニシ</t>
    </rPh>
    <rPh sb="1" eb="2">
      <t>ヨド</t>
    </rPh>
    <rPh sb="2" eb="3">
      <t>ニシ</t>
    </rPh>
    <phoneticPr fontId="2"/>
  </si>
  <si>
    <t>野里</t>
    <rPh sb="0" eb="1">
      <t>ノ</t>
    </rPh>
    <rPh sb="1" eb="2">
      <t>サト</t>
    </rPh>
    <phoneticPr fontId="2"/>
  </si>
  <si>
    <t>塚本</t>
    <rPh sb="0" eb="2">
      <t>ツカモト</t>
    </rPh>
    <phoneticPr fontId="2"/>
  </si>
  <si>
    <t>千船</t>
    <rPh sb="0" eb="1">
      <t>セン</t>
    </rPh>
    <rPh sb="1" eb="2">
      <t>フネ</t>
    </rPh>
    <phoneticPr fontId="2"/>
  </si>
  <si>
    <t>姫島</t>
    <rPh sb="0" eb="2">
      <t>ヒメジマ</t>
    </rPh>
    <phoneticPr fontId="2"/>
  </si>
  <si>
    <t>西淀</t>
    <rPh sb="0" eb="1">
      <t>ニシ</t>
    </rPh>
    <rPh sb="1" eb="2">
      <t>ヨド</t>
    </rPh>
    <phoneticPr fontId="2"/>
  </si>
  <si>
    <t>西淀南</t>
    <rPh sb="0" eb="1">
      <t>ニシ</t>
    </rPh>
    <rPh sb="1" eb="2">
      <t>ヨド</t>
    </rPh>
    <rPh sb="2" eb="3">
      <t>ミナミ</t>
    </rPh>
    <phoneticPr fontId="2"/>
  </si>
  <si>
    <t>【大阪市内】   淀川区</t>
    <rPh sb="1" eb="3">
      <t>オオサカ</t>
    </rPh>
    <rPh sb="3" eb="4">
      <t>シ</t>
    </rPh>
    <rPh sb="4" eb="5">
      <t>ナイ</t>
    </rPh>
    <rPh sb="9" eb="11">
      <t>ヨドガワ</t>
    </rPh>
    <rPh sb="11" eb="12">
      <t>ク</t>
    </rPh>
    <phoneticPr fontId="2"/>
  </si>
  <si>
    <t>三津屋</t>
    <rPh sb="0" eb="3">
      <t>ミツヤ</t>
    </rPh>
    <phoneticPr fontId="2"/>
  </si>
  <si>
    <t xml:space="preserve">サイズ </t>
    <phoneticPr fontId="2"/>
  </si>
  <si>
    <t>サイズ</t>
    <phoneticPr fontId="2"/>
  </si>
  <si>
    <t>岬中央</t>
    <rPh sb="0" eb="1">
      <t>ミサキ</t>
    </rPh>
    <rPh sb="1" eb="3">
      <t>チュウオウ</t>
    </rPh>
    <phoneticPr fontId="2"/>
  </si>
  <si>
    <t>値</t>
    <rPh sb="0" eb="1">
      <t>アタイ</t>
    </rPh>
    <phoneticPr fontId="2"/>
  </si>
  <si>
    <t>Ｙ読売新聞</t>
    <rPh sb="1" eb="3">
      <t>ヨミウリ</t>
    </rPh>
    <rPh sb="3" eb="5">
      <t>シンブン</t>
    </rPh>
    <phoneticPr fontId="2"/>
  </si>
  <si>
    <t xml:space="preserve"> </t>
    <phoneticPr fontId="2"/>
  </si>
  <si>
    <t>部数</t>
    <rPh sb="0" eb="2">
      <t>ブスウ</t>
    </rPh>
    <phoneticPr fontId="2"/>
  </si>
  <si>
    <t>注</t>
    <rPh sb="0" eb="1">
      <t>チュウイ</t>
    </rPh>
    <phoneticPr fontId="2"/>
  </si>
  <si>
    <t xml:space="preserve"> </t>
    <phoneticPr fontId="2"/>
  </si>
  <si>
    <t>（備考）</t>
    <rPh sb="1" eb="3">
      <t>ビコウ</t>
    </rPh>
    <phoneticPr fontId="2"/>
  </si>
  <si>
    <t>合計</t>
    <rPh sb="0" eb="2">
      <t>ゴウケイ</t>
    </rPh>
    <phoneticPr fontId="2"/>
  </si>
  <si>
    <t>Ａ朝日新聞</t>
    <rPh sb="1" eb="3">
      <t>アサヒ</t>
    </rPh>
    <rPh sb="3" eb="5">
      <t>シンブン</t>
    </rPh>
    <phoneticPr fontId="2"/>
  </si>
  <si>
    <t>Ｍ毎日新聞</t>
    <rPh sb="1" eb="3">
      <t>マイニチ</t>
    </rPh>
    <rPh sb="3" eb="5">
      <t>シンブン</t>
    </rPh>
    <phoneticPr fontId="2"/>
  </si>
  <si>
    <t>Ｙ読売新聞</t>
    <rPh sb="1" eb="3">
      <t>ヨミウリ</t>
    </rPh>
    <rPh sb="3" eb="5">
      <t>シンブン</t>
    </rPh>
    <phoneticPr fontId="2"/>
  </si>
  <si>
    <t>Ｓ産経新聞</t>
    <rPh sb="1" eb="3">
      <t>サンケイ</t>
    </rPh>
    <rPh sb="3" eb="5">
      <t>シンブン</t>
    </rPh>
    <phoneticPr fontId="2"/>
  </si>
  <si>
    <t>タイトル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</si>
  <si>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</si>
  <si>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</si>
  <si>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担当</t>
    <rPh sb="0" eb="2">
      <t>タントウシャ</t>
    </rPh>
    <phoneticPr fontId="2"/>
  </si>
  <si>
    <t>Ｎｏ．</t>
    <phoneticPr fontId="2"/>
  </si>
  <si>
    <t>豊中市</t>
    <rPh sb="0" eb="2">
      <t>トヨナカ</t>
    </rPh>
    <rPh sb="2" eb="3">
      <t>シ</t>
    </rPh>
    <phoneticPr fontId="2"/>
  </si>
  <si>
    <t>池田市</t>
    <rPh sb="0" eb="2">
      <t>イケダ</t>
    </rPh>
    <rPh sb="2" eb="3">
      <t>シ</t>
    </rPh>
    <phoneticPr fontId="2"/>
  </si>
  <si>
    <t>箕面市</t>
    <rPh sb="0" eb="2">
      <t>ミノオ</t>
    </rPh>
    <rPh sb="2" eb="3">
      <t>シ</t>
    </rPh>
    <phoneticPr fontId="2"/>
  </si>
  <si>
    <t>守口市</t>
    <rPh sb="0" eb="2">
      <t>モリグチ</t>
    </rPh>
    <rPh sb="2" eb="3">
      <t>シ</t>
    </rPh>
    <phoneticPr fontId="2"/>
  </si>
  <si>
    <t>四条畷市</t>
    <rPh sb="0" eb="3">
      <t>シジョウナワテ</t>
    </rPh>
    <rPh sb="3" eb="4">
      <t>シ</t>
    </rPh>
    <phoneticPr fontId="2"/>
  </si>
  <si>
    <t>松原市</t>
    <rPh sb="0" eb="2">
      <t>マツバラ</t>
    </rPh>
    <rPh sb="2" eb="3">
      <t>シ</t>
    </rPh>
    <phoneticPr fontId="2"/>
  </si>
  <si>
    <t>藤井寺市</t>
    <rPh sb="0" eb="3">
      <t>フジイデラ</t>
    </rPh>
    <rPh sb="3" eb="4">
      <t>シ</t>
    </rPh>
    <phoneticPr fontId="2"/>
  </si>
  <si>
    <t>和泉市</t>
    <rPh sb="0" eb="1">
      <t>ワ</t>
    </rPh>
    <rPh sb="1" eb="2">
      <t>イズミ</t>
    </rPh>
    <rPh sb="2" eb="3">
      <t>シ</t>
    </rPh>
    <phoneticPr fontId="2"/>
  </si>
  <si>
    <t>小計</t>
    <rPh sb="0" eb="2">
      <t>ショウケイ</t>
    </rPh>
    <phoneticPr fontId="2"/>
  </si>
  <si>
    <t>産経新聞</t>
    <rPh sb="0" eb="2">
      <t>サンケイ</t>
    </rPh>
    <rPh sb="2" eb="4">
      <t>シンブン</t>
    </rPh>
    <phoneticPr fontId="2"/>
  </si>
  <si>
    <t>合　　　　売</t>
    <rPh sb="0" eb="1">
      <t>ゴウ</t>
    </rPh>
    <rPh sb="5" eb="6">
      <t>バイ</t>
    </rPh>
    <phoneticPr fontId="2"/>
  </si>
  <si>
    <t>大阪市内</t>
    <rPh sb="0" eb="2">
      <t>オオサカ</t>
    </rPh>
    <rPh sb="2" eb="4">
      <t>シナイ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</si>
  <si>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</si>
  <si>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</si>
  <si>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淀川区</t>
    <rPh sb="0" eb="3">
      <t>ヨドガワク</t>
    </rPh>
    <phoneticPr fontId="2"/>
  </si>
  <si>
    <t>西淀川区</t>
    <rPh sb="0" eb="1">
      <t>ニシ</t>
    </rPh>
    <rPh sb="1" eb="3">
      <t>ヨドガワ</t>
    </rPh>
    <rPh sb="3" eb="4">
      <t>ク</t>
    </rPh>
    <phoneticPr fontId="2"/>
  </si>
  <si>
    <t>東淀川区</t>
    <rPh sb="0" eb="1">
      <t>ヒガシ</t>
    </rPh>
    <rPh sb="1" eb="4">
      <t>ヨドガワク</t>
    </rPh>
    <phoneticPr fontId="2"/>
  </si>
  <si>
    <t>北区</t>
    <rPh sb="0" eb="2">
      <t>キタク</t>
    </rPh>
    <phoneticPr fontId="2"/>
  </si>
  <si>
    <t>此花区</t>
    <rPh sb="0" eb="2">
      <t>コノハナ</t>
    </rPh>
    <rPh sb="2" eb="3">
      <t>ク</t>
    </rPh>
    <phoneticPr fontId="2"/>
  </si>
  <si>
    <t>港区</t>
    <rPh sb="0" eb="2">
      <t>ミナトク</t>
    </rPh>
    <phoneticPr fontId="2"/>
  </si>
  <si>
    <t>Ａ-富田林北</t>
    <rPh sb="2" eb="5">
      <t>トンダバヤシ</t>
    </rPh>
    <rPh sb="5" eb="6">
      <t>キタ</t>
    </rPh>
    <phoneticPr fontId="2"/>
  </si>
  <si>
    <t>大正区</t>
    <rPh sb="0" eb="2">
      <t>タイショウ</t>
    </rPh>
    <rPh sb="2" eb="3">
      <t>ク</t>
    </rPh>
    <phoneticPr fontId="2"/>
  </si>
  <si>
    <t>浪速区</t>
    <rPh sb="0" eb="2">
      <t>ナニワ</t>
    </rPh>
    <rPh sb="2" eb="3">
      <t>ク</t>
    </rPh>
    <phoneticPr fontId="2"/>
  </si>
  <si>
    <t>阿倍野区</t>
    <rPh sb="0" eb="4">
      <t>アベノク</t>
    </rPh>
    <phoneticPr fontId="2"/>
  </si>
  <si>
    <t>西成区</t>
    <rPh sb="0" eb="2">
      <t>ニシナリ</t>
    </rPh>
    <rPh sb="2" eb="3">
      <t>ク</t>
    </rPh>
    <phoneticPr fontId="2"/>
  </si>
  <si>
    <t>天王寺区</t>
    <rPh sb="0" eb="3">
      <t>テンノウジ</t>
    </rPh>
    <rPh sb="3" eb="4">
      <t>ク</t>
    </rPh>
    <phoneticPr fontId="2"/>
  </si>
  <si>
    <t>生野区</t>
    <rPh sb="0" eb="3">
      <t>イクノク</t>
    </rPh>
    <phoneticPr fontId="2"/>
  </si>
  <si>
    <t>東成区</t>
    <rPh sb="0" eb="1">
      <t>ヒガシ</t>
    </rPh>
    <rPh sb="1" eb="2">
      <t>ナリ</t>
    </rPh>
    <rPh sb="2" eb="3">
      <t>ク</t>
    </rPh>
    <phoneticPr fontId="2"/>
  </si>
  <si>
    <t>城東区</t>
    <rPh sb="0" eb="2">
      <t>ジョウトウ</t>
    </rPh>
    <rPh sb="2" eb="3">
      <t>ク</t>
    </rPh>
    <phoneticPr fontId="2"/>
  </si>
  <si>
    <t>鶴見区</t>
    <rPh sb="0" eb="3">
      <t>ツルミク</t>
    </rPh>
    <phoneticPr fontId="2"/>
  </si>
  <si>
    <t>住吉区</t>
    <rPh sb="0" eb="2">
      <t>スミヨシ</t>
    </rPh>
    <rPh sb="2" eb="3">
      <t>ク</t>
    </rPh>
    <phoneticPr fontId="2"/>
  </si>
  <si>
    <t>東住吉区</t>
    <rPh sb="0" eb="1">
      <t>ヒガシ</t>
    </rPh>
    <rPh sb="1" eb="3">
      <t>スミヨシ</t>
    </rPh>
    <rPh sb="3" eb="4">
      <t>ク</t>
    </rPh>
    <phoneticPr fontId="2"/>
  </si>
  <si>
    <t>住之江区</t>
    <rPh sb="0" eb="3">
      <t>スミノエ</t>
    </rPh>
    <rPh sb="3" eb="4">
      <t>ク</t>
    </rPh>
    <phoneticPr fontId="2"/>
  </si>
  <si>
    <t>平野区</t>
    <rPh sb="0" eb="3">
      <t>ヒラノク</t>
    </rPh>
    <phoneticPr fontId="2"/>
  </si>
  <si>
    <t>福島区</t>
    <rPh sb="0" eb="2">
      <t>フクシマ</t>
    </rPh>
    <rPh sb="2" eb="3">
      <t>ク</t>
    </rPh>
    <phoneticPr fontId="2"/>
  </si>
  <si>
    <t>都島区</t>
    <rPh sb="0" eb="2">
      <t>ミヤコジマ</t>
    </rPh>
    <rPh sb="2" eb="3">
      <t>ク</t>
    </rPh>
    <phoneticPr fontId="2"/>
  </si>
  <si>
    <t>旭区</t>
    <rPh sb="0" eb="1">
      <t>アサヒ</t>
    </rPh>
    <rPh sb="1" eb="2">
      <t>ク</t>
    </rPh>
    <phoneticPr fontId="2"/>
  </si>
  <si>
    <t>豊能郡</t>
    <rPh sb="0" eb="1">
      <t>トヨ</t>
    </rPh>
    <rPh sb="1" eb="2">
      <t>ノウ</t>
    </rPh>
    <rPh sb="2" eb="3">
      <t>グン</t>
    </rPh>
    <phoneticPr fontId="2"/>
  </si>
  <si>
    <t>豊中市</t>
    <rPh sb="0" eb="3">
      <t>トヨナカシ</t>
    </rPh>
    <phoneticPr fontId="2"/>
  </si>
  <si>
    <t>池田市</t>
    <rPh sb="0" eb="3">
      <t>イケダシ</t>
    </rPh>
    <phoneticPr fontId="2"/>
  </si>
  <si>
    <t>箕面市</t>
    <rPh sb="0" eb="3">
      <t>ミノオシ</t>
    </rPh>
    <phoneticPr fontId="2"/>
  </si>
  <si>
    <t>吹田市</t>
    <rPh sb="0" eb="3">
      <t>スイタシ</t>
    </rPh>
    <phoneticPr fontId="2"/>
  </si>
  <si>
    <t>茨木市</t>
    <rPh sb="0" eb="2">
      <t>イバラギ</t>
    </rPh>
    <rPh sb="2" eb="3">
      <t>シ</t>
    </rPh>
    <phoneticPr fontId="2"/>
  </si>
  <si>
    <t>高槻市</t>
    <rPh sb="0" eb="3">
      <t>タカツキシ</t>
    </rPh>
    <phoneticPr fontId="2"/>
  </si>
  <si>
    <t>三島郡</t>
    <rPh sb="0" eb="2">
      <t>ミシマ</t>
    </rPh>
    <rPh sb="2" eb="3">
      <t>グン</t>
    </rPh>
    <phoneticPr fontId="2"/>
  </si>
  <si>
    <t>摂津市</t>
    <rPh sb="0" eb="3">
      <t>セッツシ</t>
    </rPh>
    <phoneticPr fontId="2"/>
  </si>
  <si>
    <t>北・中・南河内</t>
    <rPh sb="0" eb="1">
      <t>キタ</t>
    </rPh>
    <rPh sb="2" eb="3">
      <t>ナカ</t>
    </rPh>
    <rPh sb="4" eb="5">
      <t>ミナミ</t>
    </rPh>
    <rPh sb="5" eb="7">
      <t>カワチ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</si>
  <si>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</si>
  <si>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</si>
  <si>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</si>
  <si>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守口市</t>
    <rPh sb="0" eb="3">
      <t>モリグチシ</t>
    </rPh>
    <phoneticPr fontId="2"/>
  </si>
  <si>
    <t>交野市</t>
    <rPh sb="0" eb="3">
      <t>カタノシ</t>
    </rPh>
    <phoneticPr fontId="2"/>
  </si>
  <si>
    <t>四条畷市</t>
    <rPh sb="0" eb="4">
      <t>シジョウナワテシ</t>
    </rPh>
    <phoneticPr fontId="2"/>
  </si>
  <si>
    <t>大東市</t>
    <rPh sb="0" eb="3">
      <t>ダイトウシ</t>
    </rPh>
    <phoneticPr fontId="2"/>
  </si>
  <si>
    <t>【北・中・南河内】   河内長野市</t>
    <rPh sb="1" eb="2">
      <t>キタ</t>
    </rPh>
    <rPh sb="3" eb="4">
      <t>ナカ</t>
    </rPh>
    <rPh sb="5" eb="6">
      <t>ミナミ</t>
    </rPh>
    <rPh sb="6" eb="8">
      <t>カワチ</t>
    </rPh>
    <rPh sb="12" eb="14">
      <t>カワチ</t>
    </rPh>
    <rPh sb="14" eb="16">
      <t>ナガノ</t>
    </rPh>
    <rPh sb="16" eb="17">
      <t>シ</t>
    </rPh>
    <phoneticPr fontId="2"/>
  </si>
  <si>
    <t>東大阪市</t>
    <rPh sb="0" eb="1">
      <t>ヒガシ</t>
    </rPh>
    <rPh sb="1" eb="4">
      <t>オオサカシ</t>
    </rPh>
    <phoneticPr fontId="2"/>
  </si>
  <si>
    <t>八尾市</t>
    <rPh sb="0" eb="3">
      <t>ヤオシ</t>
    </rPh>
    <phoneticPr fontId="2"/>
  </si>
  <si>
    <t>柏原市</t>
    <rPh sb="0" eb="3">
      <t>カシハラシ</t>
    </rPh>
    <phoneticPr fontId="2"/>
  </si>
  <si>
    <t>松原市</t>
    <rPh sb="0" eb="3">
      <t>マツバラシ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</si>
  <si>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</si>
  <si>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</si>
  <si>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</si>
  <si>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2">
      <t>カワチ</t>
    </rPh>
    <rPh sb="2" eb="4">
      <t>ナガノ</t>
    </rPh>
    <rPh sb="4" eb="5">
      <t>シ</t>
    </rPh>
    <phoneticPr fontId="2"/>
  </si>
  <si>
    <t>南河内郡</t>
    <rPh sb="0" eb="1">
      <t>ミナミ</t>
    </rPh>
    <rPh sb="1" eb="3">
      <t>カワチ</t>
    </rPh>
    <rPh sb="3" eb="4">
      <t>グン</t>
    </rPh>
    <phoneticPr fontId="2"/>
  </si>
  <si>
    <t>大阪狭山市</t>
    <rPh sb="0" eb="2">
      <t>オオサカ</t>
    </rPh>
    <rPh sb="2" eb="3">
      <t>セマ</t>
    </rPh>
    <rPh sb="3" eb="4">
      <t>ヤマ</t>
    </rPh>
    <rPh sb="4" eb="5">
      <t>シ</t>
    </rPh>
    <phoneticPr fontId="2"/>
  </si>
  <si>
    <t>北・中・南河内小計</t>
    <rPh sb="0" eb="1">
      <t>キタ</t>
    </rPh>
    <rPh sb="2" eb="3">
      <t>ナカ</t>
    </rPh>
    <rPh sb="4" eb="5">
      <t>ミナミ</t>
    </rPh>
    <rPh sb="5" eb="7">
      <t>カワチ</t>
    </rPh>
    <rPh sb="7" eb="9">
      <t>ショウケイ</t>
    </rPh>
    <phoneticPr fontId="2"/>
  </si>
  <si>
    <t>堺市</t>
    <rPh sb="0" eb="1">
      <t>サカイ</t>
    </rPh>
    <rPh sb="1" eb="2">
      <t>シ</t>
    </rPh>
    <phoneticPr fontId="2"/>
  </si>
  <si>
    <t>鶴見緑地</t>
    <rPh sb="0" eb="2">
      <t>ツルミ</t>
    </rPh>
    <rPh sb="2" eb="3">
      <t>ミドリ</t>
    </rPh>
    <rPh sb="3" eb="4">
      <t>チ</t>
    </rPh>
    <phoneticPr fontId="2"/>
  </si>
  <si>
    <t>中区</t>
    <rPh sb="0" eb="2">
      <t>ナカク</t>
    </rPh>
    <phoneticPr fontId="2"/>
  </si>
  <si>
    <t>東区</t>
    <rPh sb="0" eb="2">
      <t>ヒガシク</t>
    </rPh>
    <phoneticPr fontId="2"/>
  </si>
  <si>
    <t>南区</t>
    <rPh sb="0" eb="1">
      <t>ミナミ</t>
    </rPh>
    <rPh sb="1" eb="2">
      <t>ク</t>
    </rPh>
    <phoneticPr fontId="2"/>
  </si>
  <si>
    <t>堺市小計</t>
    <rPh sb="0" eb="1">
      <t>サカイ</t>
    </rPh>
    <rPh sb="1" eb="2">
      <t>シ</t>
    </rPh>
    <rPh sb="2" eb="4">
      <t>ショウケイ</t>
    </rPh>
    <phoneticPr fontId="2"/>
  </si>
  <si>
    <t>泉大津市</t>
    <rPh sb="0" eb="1">
      <t>イズミ</t>
    </rPh>
    <rPh sb="1" eb="3">
      <t>オオツ</t>
    </rPh>
    <rPh sb="3" eb="4">
      <t>シ</t>
    </rPh>
    <phoneticPr fontId="2"/>
  </si>
  <si>
    <t>高石市</t>
    <rPh sb="0" eb="2">
      <t>タカイシ</t>
    </rPh>
    <rPh sb="2" eb="3">
      <t>シ</t>
    </rPh>
    <phoneticPr fontId="2"/>
  </si>
  <si>
    <t>泉北郡</t>
    <rPh sb="0" eb="1">
      <t>イズミ</t>
    </rPh>
    <rPh sb="1" eb="2">
      <t>キタ</t>
    </rPh>
    <rPh sb="2" eb="3">
      <t>グン</t>
    </rPh>
    <phoneticPr fontId="2"/>
  </si>
  <si>
    <t>岸和田市</t>
    <rPh sb="0" eb="3">
      <t>キシワダ</t>
    </rPh>
    <rPh sb="3" eb="4">
      <t>シ</t>
    </rPh>
    <phoneticPr fontId="2"/>
  </si>
  <si>
    <t>西淀川区</t>
    <rPh sb="0" eb="1">
      <t>ニシ</t>
    </rPh>
    <rPh sb="1" eb="4">
      <t>ヨドガワク</t>
    </rPh>
    <phoneticPr fontId="2"/>
  </si>
  <si>
    <t>福島区</t>
    <rPh sb="0" eb="3">
      <t>フクシマク</t>
    </rPh>
    <phoneticPr fontId="2"/>
  </si>
  <si>
    <t>都島区</t>
    <rPh sb="0" eb="3">
      <t>ミヤコジマク</t>
    </rPh>
    <phoneticPr fontId="2"/>
  </si>
  <si>
    <t>旭区</t>
    <rPh sb="0" eb="2">
      <t>アサヒク</t>
    </rPh>
    <phoneticPr fontId="2"/>
  </si>
  <si>
    <t>此花区</t>
    <rPh sb="0" eb="3">
      <t>コノハナク</t>
    </rPh>
    <phoneticPr fontId="2"/>
  </si>
  <si>
    <t>西成区</t>
    <rPh sb="0" eb="3">
      <t>ニシナリク</t>
    </rPh>
    <phoneticPr fontId="2"/>
  </si>
  <si>
    <t>東成区</t>
    <rPh sb="0" eb="1">
      <t>ヒガシ</t>
    </rPh>
    <rPh sb="1" eb="2">
      <t>ナ</t>
    </rPh>
    <rPh sb="2" eb="3">
      <t>ク</t>
    </rPh>
    <phoneticPr fontId="2"/>
  </si>
  <si>
    <t>住吉区</t>
    <rPh sb="0" eb="3">
      <t>スミヨシク</t>
    </rPh>
    <phoneticPr fontId="2"/>
  </si>
  <si>
    <t>東住吉区</t>
    <rPh sb="0" eb="1">
      <t>ヒガシ</t>
    </rPh>
    <rPh sb="1" eb="4">
      <t>スミヨシク</t>
    </rPh>
    <phoneticPr fontId="2"/>
  </si>
  <si>
    <t>住之江区</t>
    <rPh sb="0" eb="4">
      <t>スミノエク</t>
    </rPh>
    <phoneticPr fontId="2"/>
  </si>
  <si>
    <t>三島郡</t>
    <rPh sb="0" eb="3">
      <t>ミシマグン</t>
    </rPh>
    <phoneticPr fontId="2"/>
  </si>
  <si>
    <t>大東市</t>
    <rPh sb="0" eb="2">
      <t>ダイトウ</t>
    </rPh>
    <rPh sb="2" eb="3">
      <t>シ</t>
    </rPh>
    <phoneticPr fontId="2"/>
  </si>
  <si>
    <t>貝塚市</t>
    <rPh sb="0" eb="2">
      <t>カイヅカ</t>
    </rPh>
    <rPh sb="2" eb="3">
      <t>シ</t>
    </rPh>
    <phoneticPr fontId="2"/>
  </si>
  <si>
    <t>泉佐野市</t>
    <rPh sb="0" eb="3">
      <t>イズミサノ</t>
    </rPh>
    <rPh sb="3" eb="4">
      <t>シ</t>
    </rPh>
    <phoneticPr fontId="2"/>
  </si>
  <si>
    <t>和泉市</t>
    <rPh sb="0" eb="1">
      <t>カズ</t>
    </rPh>
    <rPh sb="1" eb="2">
      <t>イズミ</t>
    </rPh>
    <rPh sb="2" eb="3">
      <t>シ</t>
    </rPh>
    <phoneticPr fontId="2"/>
  </si>
  <si>
    <t>泉南市</t>
    <rPh sb="0" eb="1">
      <t>イズミ</t>
    </rPh>
    <rPh sb="1" eb="2">
      <t>ミナミ</t>
    </rPh>
    <rPh sb="2" eb="3">
      <t>シ</t>
    </rPh>
    <phoneticPr fontId="2"/>
  </si>
  <si>
    <t>阪南市</t>
    <rPh sb="0" eb="2">
      <t>ハンナン</t>
    </rPh>
    <rPh sb="2" eb="3">
      <t>シ</t>
    </rPh>
    <phoneticPr fontId="2"/>
  </si>
  <si>
    <t>泉南郡</t>
    <rPh sb="0" eb="1">
      <t>イズミ</t>
    </rPh>
    <rPh sb="1" eb="2">
      <t>ミナミ</t>
    </rPh>
    <rPh sb="2" eb="3">
      <t>グン</t>
    </rPh>
    <phoneticPr fontId="2"/>
  </si>
  <si>
    <t>小計</t>
    <rPh sb="0" eb="2">
      <t>ショウケイ</t>
    </rPh>
    <phoneticPr fontId="2"/>
  </si>
  <si>
    <t>日経新聞</t>
    <rPh sb="0" eb="2">
      <t>ニッケイ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</si>
  <si>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</si>
  <si>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</si>
  <si>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</si>
  <si>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 xml:space="preserve"> </t>
    <phoneticPr fontId="2"/>
  </si>
  <si>
    <t>タイトル</t>
    <phoneticPr fontId="2"/>
  </si>
  <si>
    <t>サイズ</t>
    <phoneticPr fontId="2"/>
  </si>
  <si>
    <t>桃山台</t>
    <rPh sb="0" eb="2">
      <t>モモヤマ</t>
    </rPh>
    <rPh sb="2" eb="3">
      <t>ダイ</t>
    </rPh>
    <phoneticPr fontId="2"/>
  </si>
  <si>
    <t>庭代台</t>
    <rPh sb="0" eb="1">
      <t>ニワ</t>
    </rPh>
    <rPh sb="1" eb="2">
      <t>ダイ</t>
    </rPh>
    <rPh sb="2" eb="3">
      <t>ダイ</t>
    </rPh>
    <phoneticPr fontId="2"/>
  </si>
  <si>
    <t>泉北西</t>
    <rPh sb="0" eb="1">
      <t>イズミ</t>
    </rPh>
    <rPh sb="1" eb="2">
      <t>キタ</t>
    </rPh>
    <rPh sb="2" eb="3">
      <t>ニシ</t>
    </rPh>
    <phoneticPr fontId="2"/>
  </si>
  <si>
    <t>福泉赤坂台</t>
    <rPh sb="0" eb="1">
      <t>フク</t>
    </rPh>
    <rPh sb="1" eb="2">
      <t>イズミ</t>
    </rPh>
    <rPh sb="2" eb="5">
      <t>アカサカダイ</t>
    </rPh>
    <phoneticPr fontId="2"/>
  </si>
  <si>
    <t>赤坂台</t>
    <rPh sb="0" eb="2">
      <t>アカサカ</t>
    </rPh>
    <rPh sb="2" eb="3">
      <t>ダイ</t>
    </rPh>
    <phoneticPr fontId="2"/>
  </si>
  <si>
    <t>北花田</t>
    <rPh sb="0" eb="1">
      <t>キタ</t>
    </rPh>
    <rPh sb="1" eb="3">
      <t>ハナダ</t>
    </rPh>
    <phoneticPr fontId="2"/>
  </si>
  <si>
    <t>中百舌鳥</t>
    <rPh sb="0" eb="4">
      <t>ナカモズ</t>
    </rPh>
    <phoneticPr fontId="2"/>
  </si>
  <si>
    <t>Ａ-上新庄</t>
    <rPh sb="2" eb="5">
      <t>カミシンジョウ</t>
    </rPh>
    <phoneticPr fontId="2"/>
  </si>
  <si>
    <t>Ｍ-淡路</t>
    <rPh sb="2" eb="4">
      <t>アワジ</t>
    </rPh>
    <phoneticPr fontId="2"/>
  </si>
  <si>
    <t>Ｙ-淡路</t>
    <rPh sb="2" eb="4">
      <t>アワジ</t>
    </rPh>
    <phoneticPr fontId="2"/>
  </si>
  <si>
    <t>Ｙ-井高野</t>
    <rPh sb="2" eb="3">
      <t>イ</t>
    </rPh>
    <rPh sb="3" eb="4">
      <t>タカ</t>
    </rPh>
    <rPh sb="4" eb="5">
      <t>ノ</t>
    </rPh>
    <phoneticPr fontId="2"/>
  </si>
  <si>
    <t>大阪市北区</t>
    <rPh sb="0" eb="2">
      <t>オオサカ</t>
    </rPh>
    <rPh sb="2" eb="3">
      <t>シ</t>
    </rPh>
    <rPh sb="3" eb="4">
      <t>キタ</t>
    </rPh>
    <rPh sb="4" eb="5">
      <t>ク</t>
    </rPh>
    <phoneticPr fontId="2"/>
  </si>
  <si>
    <t>池田東</t>
    <rPh sb="0" eb="2">
      <t>イケダ</t>
    </rPh>
    <rPh sb="2" eb="3">
      <t>ヒガシ</t>
    </rPh>
    <phoneticPr fontId="2"/>
  </si>
  <si>
    <t>大阪市東淀川区</t>
    <rPh sb="0" eb="3">
      <t>オオサカシ</t>
    </rPh>
    <rPh sb="3" eb="4">
      <t>ヒガシ</t>
    </rPh>
    <rPh sb="4" eb="6">
      <t>ヨドガワ</t>
    </rPh>
    <rPh sb="6" eb="7">
      <t>ク</t>
    </rPh>
    <phoneticPr fontId="2"/>
  </si>
  <si>
    <t>大阪市北区</t>
    <rPh sb="0" eb="3">
      <t>オオサカシ</t>
    </rPh>
    <rPh sb="3" eb="4">
      <t>キタ</t>
    </rPh>
    <rPh sb="4" eb="5">
      <t>ク</t>
    </rPh>
    <phoneticPr fontId="2"/>
  </si>
  <si>
    <t>大阪市福島区</t>
    <rPh sb="0" eb="2">
      <t>オオサカ</t>
    </rPh>
    <rPh sb="2" eb="3">
      <t>シ</t>
    </rPh>
    <rPh sb="3" eb="5">
      <t>フクシマ</t>
    </rPh>
    <rPh sb="5" eb="6">
      <t>ク</t>
    </rPh>
    <phoneticPr fontId="2"/>
  </si>
  <si>
    <t>Ｍ-福島</t>
    <rPh sb="2" eb="4">
      <t>フクシマ</t>
    </rPh>
    <phoneticPr fontId="2"/>
  </si>
  <si>
    <t>Ｍ-野田</t>
    <rPh sb="2" eb="4">
      <t>ノダ</t>
    </rPh>
    <phoneticPr fontId="2"/>
  </si>
  <si>
    <t>貝塚市</t>
    <rPh sb="0" eb="1">
      <t>カイ</t>
    </rPh>
    <rPh sb="1" eb="2">
      <t>ツカ</t>
    </rPh>
    <rPh sb="2" eb="3">
      <t>シ</t>
    </rPh>
    <phoneticPr fontId="2"/>
  </si>
  <si>
    <t>泉南郡</t>
    <rPh sb="0" eb="2">
      <t>センナン</t>
    </rPh>
    <rPh sb="2" eb="3">
      <t>グン</t>
    </rPh>
    <phoneticPr fontId="2"/>
  </si>
  <si>
    <t>Ｍ-福島北</t>
    <rPh sb="2" eb="4">
      <t>フクシマ</t>
    </rPh>
    <rPh sb="4" eb="5">
      <t>キタ</t>
    </rPh>
    <phoneticPr fontId="2"/>
  </si>
  <si>
    <t>大阪市福島区</t>
    <rPh sb="0" eb="3">
      <t>オオサカシ</t>
    </rPh>
    <rPh sb="3" eb="5">
      <t>フクシマ</t>
    </rPh>
    <rPh sb="5" eb="6">
      <t>ク</t>
    </rPh>
    <phoneticPr fontId="2"/>
  </si>
  <si>
    <t>大阪市都島区</t>
    <rPh sb="0" eb="2">
      <t>オオサカ</t>
    </rPh>
    <rPh sb="2" eb="3">
      <t>シ</t>
    </rPh>
    <rPh sb="3" eb="4">
      <t>ミヤコ</t>
    </rPh>
    <rPh sb="4" eb="5">
      <t>シマ</t>
    </rPh>
    <rPh sb="5" eb="6">
      <t>ク</t>
    </rPh>
    <phoneticPr fontId="2"/>
  </si>
  <si>
    <t>千里丘北</t>
    <rPh sb="0" eb="3">
      <t>センリオカ</t>
    </rPh>
    <rPh sb="3" eb="4">
      <t>キタ</t>
    </rPh>
    <phoneticPr fontId="2"/>
  </si>
  <si>
    <t>Ｙ-都島</t>
    <rPh sb="2" eb="3">
      <t>ミヤコ</t>
    </rPh>
    <rPh sb="3" eb="4">
      <t>シマ</t>
    </rPh>
    <phoneticPr fontId="2"/>
  </si>
  <si>
    <t>Ｙ-高倉</t>
    <rPh sb="2" eb="4">
      <t>タカクラ</t>
    </rPh>
    <phoneticPr fontId="2"/>
  </si>
  <si>
    <t>大阪市都島区</t>
    <rPh sb="0" eb="3">
      <t>オオサカシ</t>
    </rPh>
    <rPh sb="3" eb="4">
      <t>ミヤコ</t>
    </rPh>
    <rPh sb="4" eb="5">
      <t>シマ</t>
    </rPh>
    <rPh sb="5" eb="6">
      <t>ク</t>
    </rPh>
    <phoneticPr fontId="2"/>
  </si>
  <si>
    <t>大阪市旭区</t>
    <rPh sb="0" eb="2">
      <t>オオサカ</t>
    </rPh>
    <rPh sb="2" eb="3">
      <t>シ</t>
    </rPh>
    <rPh sb="3" eb="4">
      <t>アサヒ</t>
    </rPh>
    <rPh sb="4" eb="5">
      <t>ク</t>
    </rPh>
    <phoneticPr fontId="2"/>
  </si>
  <si>
    <t>Ａ-森小路</t>
    <rPh sb="2" eb="3">
      <t>モリ</t>
    </rPh>
    <rPh sb="3" eb="5">
      <t>コウジ</t>
    </rPh>
    <phoneticPr fontId="2"/>
  </si>
  <si>
    <t>大阪市此花区</t>
    <rPh sb="0" eb="2">
      <t>オオサカ</t>
    </rPh>
    <rPh sb="2" eb="3">
      <t>シ</t>
    </rPh>
    <rPh sb="3" eb="5">
      <t>コノハナ</t>
    </rPh>
    <rPh sb="5" eb="6">
      <t>ク</t>
    </rPh>
    <phoneticPr fontId="2"/>
  </si>
  <si>
    <t>大阪市旭区</t>
    <rPh sb="0" eb="3">
      <t>オオサカシ</t>
    </rPh>
    <rPh sb="3" eb="4">
      <t>アサヒ</t>
    </rPh>
    <rPh sb="4" eb="5">
      <t>ク</t>
    </rPh>
    <phoneticPr fontId="2"/>
  </si>
  <si>
    <t>Ｙ-朝潮橋</t>
    <rPh sb="2" eb="3">
      <t>アサ</t>
    </rPh>
    <rPh sb="3" eb="4">
      <t>シオ</t>
    </rPh>
    <rPh sb="4" eb="5">
      <t>バシ</t>
    </rPh>
    <phoneticPr fontId="2"/>
  </si>
  <si>
    <t>Ａ-富田</t>
    <rPh sb="2" eb="4">
      <t>トミタ</t>
    </rPh>
    <phoneticPr fontId="2"/>
  </si>
  <si>
    <t>Ａ-富田南</t>
    <rPh sb="2" eb="4">
      <t>トミタ</t>
    </rPh>
    <rPh sb="4" eb="5">
      <t>ミナミ</t>
    </rPh>
    <phoneticPr fontId="2"/>
  </si>
  <si>
    <t>Ｙ-堺南</t>
    <rPh sb="2" eb="3">
      <t>サカイ</t>
    </rPh>
    <rPh sb="3" eb="4">
      <t>ミナミ</t>
    </rPh>
    <phoneticPr fontId="2"/>
  </si>
  <si>
    <t>Ａ-高槻</t>
    <rPh sb="2" eb="4">
      <t>タカツキ</t>
    </rPh>
    <phoneticPr fontId="2"/>
  </si>
  <si>
    <t>Ａ-安岡寺</t>
    <rPh sb="2" eb="3">
      <t>ヤス</t>
    </rPh>
    <rPh sb="3" eb="4">
      <t>オカ</t>
    </rPh>
    <rPh sb="4" eb="5">
      <t>テラ</t>
    </rPh>
    <phoneticPr fontId="2"/>
  </si>
  <si>
    <t>大阪市此花区</t>
    <rPh sb="0" eb="3">
      <t>オオサカシ</t>
    </rPh>
    <rPh sb="3" eb="5">
      <t>コノハナ</t>
    </rPh>
    <rPh sb="5" eb="6">
      <t>ク</t>
    </rPh>
    <phoneticPr fontId="2"/>
  </si>
  <si>
    <t>大阪市港区</t>
    <rPh sb="0" eb="2">
      <t>オオサカ</t>
    </rPh>
    <rPh sb="2" eb="3">
      <t>シ</t>
    </rPh>
    <rPh sb="3" eb="4">
      <t>ミナト</t>
    </rPh>
    <rPh sb="4" eb="5">
      <t>ク</t>
    </rPh>
    <phoneticPr fontId="2"/>
  </si>
  <si>
    <t>大阪市港区</t>
    <rPh sb="0" eb="3">
      <t>オオサカシ</t>
    </rPh>
    <rPh sb="3" eb="4">
      <t>ミナト</t>
    </rPh>
    <rPh sb="4" eb="5">
      <t>ク</t>
    </rPh>
    <phoneticPr fontId="2"/>
  </si>
  <si>
    <t>Ｍ-西九条</t>
    <rPh sb="2" eb="3">
      <t>ニシ</t>
    </rPh>
    <rPh sb="3" eb="5">
      <t>クジョウ</t>
    </rPh>
    <phoneticPr fontId="2"/>
  </si>
  <si>
    <t>大阪市大正区</t>
    <rPh sb="0" eb="2">
      <t>オオサカ</t>
    </rPh>
    <rPh sb="2" eb="3">
      <t>シ</t>
    </rPh>
    <rPh sb="3" eb="5">
      <t>タイショウ</t>
    </rPh>
    <rPh sb="5" eb="6">
      <t>ク</t>
    </rPh>
    <phoneticPr fontId="2"/>
  </si>
  <si>
    <t>Ｍ-大正橋</t>
    <rPh sb="2" eb="4">
      <t>タイショウ</t>
    </rPh>
    <rPh sb="4" eb="5">
      <t>バシ</t>
    </rPh>
    <phoneticPr fontId="2"/>
  </si>
  <si>
    <t>Ｍ-南恩加島</t>
    <rPh sb="2" eb="3">
      <t>ミナミ</t>
    </rPh>
    <rPh sb="3" eb="4">
      <t>オン</t>
    </rPh>
    <rPh sb="4" eb="5">
      <t>カ</t>
    </rPh>
    <rPh sb="5" eb="6">
      <t>シマ</t>
    </rPh>
    <phoneticPr fontId="2"/>
  </si>
  <si>
    <t>Ｙ-大正</t>
    <rPh sb="2" eb="4">
      <t>タイショウ</t>
    </rPh>
    <phoneticPr fontId="2"/>
  </si>
  <si>
    <t>Ｙ-大正南</t>
    <rPh sb="2" eb="4">
      <t>タイショウ</t>
    </rPh>
    <rPh sb="4" eb="5">
      <t>ミナミ</t>
    </rPh>
    <phoneticPr fontId="2"/>
  </si>
  <si>
    <t>大阪市大正区</t>
    <rPh sb="0" eb="3">
      <t>オオサカシ</t>
    </rPh>
    <rPh sb="3" eb="5">
      <t>タイショウ</t>
    </rPh>
    <rPh sb="5" eb="6">
      <t>ク</t>
    </rPh>
    <phoneticPr fontId="2"/>
  </si>
  <si>
    <t>大阪市浪速区</t>
    <rPh sb="0" eb="2">
      <t>オオサカ</t>
    </rPh>
    <rPh sb="2" eb="3">
      <t>シ</t>
    </rPh>
    <rPh sb="3" eb="5">
      <t>ナニワ</t>
    </rPh>
    <rPh sb="5" eb="6">
      <t>ク</t>
    </rPh>
    <phoneticPr fontId="2"/>
  </si>
  <si>
    <t>Ｍ-難波</t>
    <rPh sb="2" eb="4">
      <t>ナンバ</t>
    </rPh>
    <phoneticPr fontId="2"/>
  </si>
  <si>
    <t>Ｍ-桜川</t>
    <rPh sb="2" eb="4">
      <t>サクラガワ</t>
    </rPh>
    <phoneticPr fontId="2"/>
  </si>
  <si>
    <t>北花田蔵前</t>
    <rPh sb="0" eb="1">
      <t>キタ</t>
    </rPh>
    <rPh sb="1" eb="3">
      <t>ハナダ</t>
    </rPh>
    <rPh sb="3" eb="4">
      <t>クラ</t>
    </rPh>
    <rPh sb="4" eb="5">
      <t>マエ</t>
    </rPh>
    <phoneticPr fontId="2"/>
  </si>
  <si>
    <t>東浅香</t>
    <rPh sb="0" eb="1">
      <t>ヒガシ</t>
    </rPh>
    <rPh sb="1" eb="2">
      <t>アサ</t>
    </rPh>
    <rPh sb="2" eb="3">
      <t>カ</t>
    </rPh>
    <phoneticPr fontId="2"/>
  </si>
  <si>
    <t>東金岡</t>
    <rPh sb="0" eb="1">
      <t>ヒガシ</t>
    </rPh>
    <rPh sb="1" eb="3">
      <t>カナオカ</t>
    </rPh>
    <phoneticPr fontId="2"/>
  </si>
  <si>
    <t>新金岡</t>
    <rPh sb="0" eb="1">
      <t>シン</t>
    </rPh>
    <rPh sb="1" eb="3">
      <t>カナオカ</t>
    </rPh>
    <phoneticPr fontId="2"/>
  </si>
  <si>
    <t>南金岡</t>
    <rPh sb="0" eb="1">
      <t>ミナミ</t>
    </rPh>
    <rPh sb="1" eb="3">
      <t>カナオカ</t>
    </rPh>
    <phoneticPr fontId="2"/>
  </si>
  <si>
    <t>堺市駅前</t>
    <rPh sb="0" eb="2">
      <t>サカイシ</t>
    </rPh>
    <rPh sb="2" eb="4">
      <t>エキマエ</t>
    </rPh>
    <phoneticPr fontId="2"/>
  </si>
  <si>
    <t>美原</t>
    <rPh sb="0" eb="2">
      <t>ミハラ</t>
    </rPh>
    <phoneticPr fontId="2"/>
  </si>
  <si>
    <t xml:space="preserve"> </t>
    <phoneticPr fontId="2"/>
  </si>
  <si>
    <t>タイトル</t>
    <phoneticPr fontId="2"/>
  </si>
  <si>
    <t>サイズ</t>
    <phoneticPr fontId="2"/>
  </si>
  <si>
    <t>【南　部】   泉大津市</t>
    <rPh sb="1" eb="2">
      <t>ミナミ</t>
    </rPh>
    <rPh sb="3" eb="4">
      <t>ブ</t>
    </rPh>
    <rPh sb="8" eb="9">
      <t>イズミ</t>
    </rPh>
    <rPh sb="9" eb="11">
      <t>オオツ</t>
    </rPh>
    <rPh sb="11" eb="12">
      <t>シ</t>
    </rPh>
    <phoneticPr fontId="2"/>
  </si>
  <si>
    <t>【堺　市】   南区</t>
    <rPh sb="1" eb="2">
      <t>サカイ</t>
    </rPh>
    <rPh sb="3" eb="4">
      <t>シ</t>
    </rPh>
    <rPh sb="8" eb="9">
      <t>ミナミ</t>
    </rPh>
    <rPh sb="9" eb="10">
      <t>ク</t>
    </rPh>
    <phoneticPr fontId="2"/>
  </si>
  <si>
    <t>泉大津</t>
    <rPh sb="0" eb="1">
      <t>イズミ</t>
    </rPh>
    <rPh sb="1" eb="3">
      <t>オオツ</t>
    </rPh>
    <phoneticPr fontId="2"/>
  </si>
  <si>
    <t>助松</t>
    <rPh sb="0" eb="1">
      <t>スケ</t>
    </rPh>
    <rPh sb="1" eb="2">
      <t>マツ</t>
    </rPh>
    <phoneticPr fontId="2"/>
  </si>
  <si>
    <t>【南　部】   高石市</t>
    <rPh sb="1" eb="2">
      <t>ミナミ</t>
    </rPh>
    <rPh sb="3" eb="4">
      <t>ブ</t>
    </rPh>
    <rPh sb="8" eb="10">
      <t>タカイシ</t>
    </rPh>
    <rPh sb="10" eb="11">
      <t>シ</t>
    </rPh>
    <phoneticPr fontId="2"/>
  </si>
  <si>
    <t>高石</t>
    <rPh sb="0" eb="2">
      <t>タカイシ</t>
    </rPh>
    <phoneticPr fontId="2"/>
  </si>
  <si>
    <t>富木</t>
    <rPh sb="0" eb="1">
      <t>トミ</t>
    </rPh>
    <rPh sb="1" eb="2">
      <t>キ</t>
    </rPh>
    <phoneticPr fontId="2"/>
  </si>
  <si>
    <t>東羽衣</t>
    <rPh sb="0" eb="1">
      <t>ヒガシ</t>
    </rPh>
    <rPh sb="1" eb="3">
      <t>ハゴロモ</t>
    </rPh>
    <phoneticPr fontId="2"/>
  </si>
  <si>
    <t>忠岡</t>
    <rPh sb="0" eb="2">
      <t>タダオカ</t>
    </rPh>
    <phoneticPr fontId="2"/>
  </si>
  <si>
    <t xml:space="preserve"> </t>
    <phoneticPr fontId="2"/>
  </si>
  <si>
    <t>タイトル</t>
    <phoneticPr fontId="2"/>
  </si>
  <si>
    <t>サイズ     　　  　</t>
    <phoneticPr fontId="2"/>
  </si>
  <si>
    <t>【南　部】   泉北郡</t>
    <rPh sb="1" eb="2">
      <t>ミナミ</t>
    </rPh>
    <rPh sb="3" eb="4">
      <t>ブ</t>
    </rPh>
    <rPh sb="8" eb="10">
      <t>センボク</t>
    </rPh>
    <rPh sb="10" eb="11">
      <t>グン</t>
    </rPh>
    <phoneticPr fontId="2"/>
  </si>
  <si>
    <t>【南　部】   岸和田市</t>
    <rPh sb="1" eb="2">
      <t>ミナミ</t>
    </rPh>
    <rPh sb="3" eb="4">
      <t>ブ</t>
    </rPh>
    <rPh sb="8" eb="11">
      <t>キシワダ</t>
    </rPh>
    <rPh sb="11" eb="12">
      <t>シ</t>
    </rPh>
    <phoneticPr fontId="2"/>
  </si>
  <si>
    <t>春木</t>
    <rPh sb="0" eb="1">
      <t>ハル</t>
    </rPh>
    <rPh sb="1" eb="2">
      <t>キ</t>
    </rPh>
    <phoneticPr fontId="2"/>
  </si>
  <si>
    <t>岸和田</t>
    <rPh sb="0" eb="3">
      <t>キシワダ</t>
    </rPh>
    <phoneticPr fontId="2"/>
  </si>
  <si>
    <t>岸和田山直</t>
    <rPh sb="0" eb="3">
      <t>キシワダ</t>
    </rPh>
    <rPh sb="3" eb="4">
      <t>ヤマ</t>
    </rPh>
    <rPh sb="4" eb="5">
      <t>ナオ</t>
    </rPh>
    <phoneticPr fontId="2"/>
  </si>
  <si>
    <t>久米田</t>
    <rPh sb="0" eb="1">
      <t>ヒサシ</t>
    </rPh>
    <rPh sb="1" eb="2">
      <t>コメ</t>
    </rPh>
    <rPh sb="2" eb="3">
      <t>タ</t>
    </rPh>
    <phoneticPr fontId="2"/>
  </si>
  <si>
    <t>東岸和田</t>
    <rPh sb="0" eb="1">
      <t>ヒガシ</t>
    </rPh>
    <rPh sb="1" eb="4">
      <t>キシワダ</t>
    </rPh>
    <phoneticPr fontId="2"/>
  </si>
  <si>
    <t>東岸和田・下松</t>
    <rPh sb="0" eb="1">
      <t>ヒガシ</t>
    </rPh>
    <rPh sb="1" eb="4">
      <t>キシワダ</t>
    </rPh>
    <rPh sb="5" eb="6">
      <t>シタ</t>
    </rPh>
    <rPh sb="6" eb="7">
      <t>マツ</t>
    </rPh>
    <phoneticPr fontId="2"/>
  </si>
  <si>
    <t>吉井</t>
    <rPh sb="0" eb="2">
      <t>ヨシイ</t>
    </rPh>
    <phoneticPr fontId="2"/>
  </si>
  <si>
    <t>岸和田南</t>
    <rPh sb="0" eb="3">
      <t>キシワダ</t>
    </rPh>
    <rPh sb="3" eb="4">
      <t>ミナミ</t>
    </rPh>
    <phoneticPr fontId="2"/>
  </si>
  <si>
    <t>柏原市</t>
    <rPh sb="0" eb="1">
      <t>カシワ</t>
    </rPh>
    <rPh sb="1" eb="2">
      <t>ハラ</t>
    </rPh>
    <rPh sb="2" eb="3">
      <t>シ</t>
    </rPh>
    <phoneticPr fontId="2"/>
  </si>
  <si>
    <t>Ｍ-柏原</t>
    <rPh sb="2" eb="4">
      <t>カイバラ</t>
    </rPh>
    <phoneticPr fontId="2"/>
  </si>
  <si>
    <t>Ｍ-国分</t>
    <rPh sb="2" eb="4">
      <t>コクブン</t>
    </rPh>
    <phoneticPr fontId="2"/>
  </si>
  <si>
    <t>岸和田中央</t>
    <rPh sb="0" eb="3">
      <t>キシワダ</t>
    </rPh>
    <rPh sb="3" eb="5">
      <t>チュウオウ</t>
    </rPh>
    <phoneticPr fontId="2"/>
  </si>
  <si>
    <t>岸和田北</t>
    <rPh sb="0" eb="3">
      <t>キシワダ</t>
    </rPh>
    <rPh sb="3" eb="4">
      <t>キタ</t>
    </rPh>
    <phoneticPr fontId="2"/>
  </si>
  <si>
    <t>和泉大宮</t>
    <rPh sb="0" eb="1">
      <t>ワ</t>
    </rPh>
    <rPh sb="1" eb="2">
      <t>イズミ</t>
    </rPh>
    <rPh sb="2" eb="4">
      <t>オオミヤ</t>
    </rPh>
    <phoneticPr fontId="2"/>
  </si>
  <si>
    <t>東春木</t>
    <rPh sb="0" eb="1">
      <t>ヒガシ</t>
    </rPh>
    <rPh sb="1" eb="2">
      <t>ハル</t>
    </rPh>
    <rPh sb="2" eb="3">
      <t>キ</t>
    </rPh>
    <phoneticPr fontId="2"/>
  </si>
  <si>
    <t>【南　部】   貝塚市</t>
    <rPh sb="1" eb="2">
      <t>ミナミ</t>
    </rPh>
    <rPh sb="3" eb="4">
      <t>ブ</t>
    </rPh>
    <rPh sb="8" eb="9">
      <t>カイ</t>
    </rPh>
    <rPh sb="9" eb="10">
      <t>ツカ</t>
    </rPh>
    <rPh sb="10" eb="11">
      <t>シ</t>
    </rPh>
    <phoneticPr fontId="2"/>
  </si>
  <si>
    <t>貝塚</t>
    <rPh sb="0" eb="1">
      <t>カイ</t>
    </rPh>
    <rPh sb="1" eb="2">
      <t>ツカ</t>
    </rPh>
    <phoneticPr fontId="2"/>
  </si>
  <si>
    <t>東貝塚</t>
    <rPh sb="0" eb="1">
      <t>ヒガシ</t>
    </rPh>
    <rPh sb="1" eb="2">
      <t>カイ</t>
    </rPh>
    <rPh sb="2" eb="3">
      <t>ツカ</t>
    </rPh>
    <phoneticPr fontId="2"/>
  </si>
  <si>
    <t>千里丘東</t>
    <rPh sb="0" eb="3">
      <t>センリオカ</t>
    </rPh>
    <rPh sb="3" eb="4">
      <t>ヒガシ</t>
    </rPh>
    <phoneticPr fontId="2"/>
  </si>
  <si>
    <t>大仙･湊</t>
    <rPh sb="0" eb="2">
      <t>ダイセン</t>
    </rPh>
    <rPh sb="3" eb="4">
      <t>ミナト</t>
    </rPh>
    <phoneticPr fontId="2"/>
  </si>
  <si>
    <t>津久野･上野芝</t>
    <rPh sb="0" eb="3">
      <t>ツクノ</t>
    </rPh>
    <rPh sb="4" eb="6">
      <t>ウエノ</t>
    </rPh>
    <rPh sb="6" eb="7">
      <t>シバ</t>
    </rPh>
    <phoneticPr fontId="2"/>
  </si>
  <si>
    <t xml:space="preserve"> </t>
    <phoneticPr fontId="2"/>
  </si>
  <si>
    <t>タイトル</t>
    <phoneticPr fontId="2"/>
  </si>
  <si>
    <t>サイズ     　　  　</t>
    <phoneticPr fontId="2"/>
  </si>
  <si>
    <t>【南　部】   泉佐野市</t>
    <rPh sb="1" eb="2">
      <t>ミナミ</t>
    </rPh>
    <rPh sb="3" eb="4">
      <t>ブ</t>
    </rPh>
    <rPh sb="8" eb="9">
      <t>イズミ</t>
    </rPh>
    <rPh sb="9" eb="11">
      <t>サノ</t>
    </rPh>
    <rPh sb="11" eb="12">
      <t>シ</t>
    </rPh>
    <phoneticPr fontId="2"/>
  </si>
  <si>
    <t>泉佐野</t>
    <rPh sb="0" eb="1">
      <t>イズミ</t>
    </rPh>
    <rPh sb="1" eb="3">
      <t>サノ</t>
    </rPh>
    <phoneticPr fontId="2"/>
  </si>
  <si>
    <t>日根野</t>
    <rPh sb="0" eb="1">
      <t>ヒ</t>
    </rPh>
    <rPh sb="1" eb="2">
      <t>ネ</t>
    </rPh>
    <rPh sb="2" eb="3">
      <t>ノ</t>
    </rPh>
    <phoneticPr fontId="2"/>
  </si>
  <si>
    <t>泉佐野田尻町</t>
    <rPh sb="0" eb="1">
      <t>イズミ</t>
    </rPh>
    <rPh sb="1" eb="3">
      <t>サノ</t>
    </rPh>
    <rPh sb="3" eb="4">
      <t>タ</t>
    </rPh>
    <rPh sb="4" eb="5">
      <t>シリ</t>
    </rPh>
    <rPh sb="5" eb="6">
      <t>マチ</t>
    </rPh>
    <phoneticPr fontId="2"/>
  </si>
  <si>
    <t>熊取</t>
    <rPh sb="0" eb="1">
      <t>クマ</t>
    </rPh>
    <rPh sb="1" eb="2">
      <t>トリ</t>
    </rPh>
    <phoneticPr fontId="2"/>
  </si>
  <si>
    <t>井原の里</t>
    <rPh sb="0" eb="2">
      <t>イハラ</t>
    </rPh>
    <rPh sb="3" eb="4">
      <t>サト</t>
    </rPh>
    <phoneticPr fontId="2"/>
  </si>
  <si>
    <t>南佐野</t>
    <rPh sb="0" eb="1">
      <t>ミナミ</t>
    </rPh>
    <rPh sb="1" eb="3">
      <t>サノ</t>
    </rPh>
    <phoneticPr fontId="2"/>
  </si>
  <si>
    <t>【南　部】   和泉市</t>
    <rPh sb="1" eb="2">
      <t>ミナミ</t>
    </rPh>
    <rPh sb="3" eb="4">
      <t>ブ</t>
    </rPh>
    <rPh sb="8" eb="9">
      <t>ワ</t>
    </rPh>
    <rPh sb="9" eb="10">
      <t>イズミ</t>
    </rPh>
    <rPh sb="10" eb="11">
      <t>シ</t>
    </rPh>
    <phoneticPr fontId="2"/>
  </si>
  <si>
    <t>北池田</t>
    <rPh sb="0" eb="1">
      <t>キタ</t>
    </rPh>
    <rPh sb="1" eb="3">
      <t>イケダ</t>
    </rPh>
    <phoneticPr fontId="2"/>
  </si>
  <si>
    <t>和泉光明池</t>
    <rPh sb="0" eb="1">
      <t>ワ</t>
    </rPh>
    <rPh sb="1" eb="2">
      <t>イズミ</t>
    </rPh>
    <rPh sb="2" eb="3">
      <t>ヒカリ</t>
    </rPh>
    <rPh sb="3" eb="4">
      <t>アカ</t>
    </rPh>
    <rPh sb="4" eb="5">
      <t>イケ</t>
    </rPh>
    <phoneticPr fontId="2"/>
  </si>
  <si>
    <t>和泉中央</t>
    <rPh sb="0" eb="1">
      <t>ワ</t>
    </rPh>
    <rPh sb="1" eb="2">
      <t>イズミ</t>
    </rPh>
    <rPh sb="2" eb="4">
      <t>チュウオウ</t>
    </rPh>
    <phoneticPr fontId="2"/>
  </si>
  <si>
    <t>和泉府中</t>
    <rPh sb="0" eb="1">
      <t>ワ</t>
    </rPh>
    <rPh sb="1" eb="2">
      <t>イズミ</t>
    </rPh>
    <rPh sb="2" eb="4">
      <t>フチュウ</t>
    </rPh>
    <phoneticPr fontId="2"/>
  </si>
  <si>
    <t>泉州北池田</t>
    <rPh sb="0" eb="2">
      <t>センシュウ</t>
    </rPh>
    <rPh sb="2" eb="3">
      <t>キタ</t>
    </rPh>
    <rPh sb="3" eb="5">
      <t>イケダ</t>
    </rPh>
    <phoneticPr fontId="2"/>
  </si>
  <si>
    <t xml:space="preserve"> </t>
    <phoneticPr fontId="2"/>
  </si>
  <si>
    <t>タイトル</t>
    <phoneticPr fontId="2"/>
  </si>
  <si>
    <t>サイズ     　　  　</t>
    <phoneticPr fontId="2"/>
  </si>
  <si>
    <t>【南　部】   泉南市</t>
    <rPh sb="1" eb="2">
      <t>ミナミ</t>
    </rPh>
    <rPh sb="3" eb="4">
      <t>ブ</t>
    </rPh>
    <rPh sb="8" eb="9">
      <t>イズミ</t>
    </rPh>
    <rPh sb="9" eb="10">
      <t>ミナミ</t>
    </rPh>
    <rPh sb="10" eb="11">
      <t>シ</t>
    </rPh>
    <phoneticPr fontId="2"/>
  </si>
  <si>
    <t>和泉砂川</t>
    <rPh sb="0" eb="1">
      <t>ワ</t>
    </rPh>
    <rPh sb="1" eb="2">
      <t>イズミ</t>
    </rPh>
    <rPh sb="2" eb="3">
      <t>スナ</t>
    </rPh>
    <rPh sb="3" eb="4">
      <t>カワ</t>
    </rPh>
    <phoneticPr fontId="2"/>
  </si>
  <si>
    <t>泉南新家</t>
    <rPh sb="0" eb="1">
      <t>イズミ</t>
    </rPh>
    <rPh sb="1" eb="2">
      <t>ミナミ</t>
    </rPh>
    <rPh sb="2" eb="3">
      <t>シン</t>
    </rPh>
    <rPh sb="3" eb="4">
      <t>イエ</t>
    </rPh>
    <phoneticPr fontId="2"/>
  </si>
  <si>
    <t>和泉一丘</t>
    <rPh sb="0" eb="1">
      <t>ワ</t>
    </rPh>
    <rPh sb="1" eb="2">
      <t>イズミ</t>
    </rPh>
    <rPh sb="2" eb="3">
      <t>イチ</t>
    </rPh>
    <rPh sb="3" eb="4">
      <t>オカ</t>
    </rPh>
    <phoneticPr fontId="2"/>
  </si>
  <si>
    <t>【南　部】   阪南市</t>
    <rPh sb="1" eb="2">
      <t>ミナミ</t>
    </rPh>
    <rPh sb="3" eb="4">
      <t>ブ</t>
    </rPh>
    <rPh sb="8" eb="10">
      <t>ハンナン</t>
    </rPh>
    <rPh sb="10" eb="11">
      <t>シ</t>
    </rPh>
    <phoneticPr fontId="2"/>
  </si>
  <si>
    <t>尾崎</t>
    <rPh sb="0" eb="2">
      <t>オサキ</t>
    </rPh>
    <phoneticPr fontId="2"/>
  </si>
  <si>
    <t>箱作</t>
    <rPh sb="0" eb="1">
      <t>ハコ</t>
    </rPh>
    <rPh sb="1" eb="2">
      <t>サク</t>
    </rPh>
    <phoneticPr fontId="2"/>
  </si>
  <si>
    <t>阪南尾崎</t>
    <rPh sb="0" eb="2">
      <t>ハンナン</t>
    </rPh>
    <rPh sb="2" eb="4">
      <t>オサキ</t>
    </rPh>
    <phoneticPr fontId="2"/>
  </si>
  <si>
    <t>阪南東</t>
    <rPh sb="0" eb="2">
      <t>ハンナン</t>
    </rPh>
    <rPh sb="2" eb="3">
      <t>ヒガシ</t>
    </rPh>
    <phoneticPr fontId="2"/>
  </si>
  <si>
    <t>【南　部】   泉南郡</t>
    <rPh sb="1" eb="2">
      <t>ミナミ</t>
    </rPh>
    <rPh sb="3" eb="4">
      <t>ブ</t>
    </rPh>
    <rPh sb="8" eb="10">
      <t>センナン</t>
    </rPh>
    <rPh sb="10" eb="11">
      <t>グン</t>
    </rPh>
    <phoneticPr fontId="2"/>
  </si>
  <si>
    <t>岬町</t>
    <rPh sb="0" eb="1">
      <t>ミサキ</t>
    </rPh>
    <rPh sb="1" eb="2">
      <t>マチ</t>
    </rPh>
    <phoneticPr fontId="2"/>
  </si>
  <si>
    <t>多奈川</t>
    <rPh sb="0" eb="1">
      <t>タ</t>
    </rPh>
    <rPh sb="1" eb="2">
      <t>ナ</t>
    </rPh>
    <rPh sb="2" eb="3">
      <t>カワ</t>
    </rPh>
    <phoneticPr fontId="2"/>
  </si>
  <si>
    <t>孝子</t>
    <rPh sb="0" eb="1">
      <t>タカシ</t>
    </rPh>
    <rPh sb="1" eb="2">
      <t>コ</t>
    </rPh>
    <phoneticPr fontId="2"/>
  </si>
  <si>
    <t>みなと中央</t>
    <rPh sb="3" eb="5">
      <t>チュウオウ</t>
    </rPh>
    <phoneticPr fontId="2"/>
  </si>
  <si>
    <t>淡輪</t>
    <rPh sb="0" eb="1">
      <t>タン</t>
    </rPh>
    <rPh sb="1" eb="2">
      <t>ワ</t>
    </rPh>
    <phoneticPr fontId="2"/>
  </si>
  <si>
    <t>深日</t>
    <rPh sb="0" eb="2">
      <t>フケ</t>
    </rPh>
    <phoneticPr fontId="2"/>
  </si>
  <si>
    <t>ときわ台</t>
    <rPh sb="3" eb="4">
      <t>ダイ</t>
    </rPh>
    <phoneticPr fontId="2"/>
  </si>
  <si>
    <t>能勢</t>
    <rPh sb="0" eb="2">
      <t>ノセ</t>
    </rPh>
    <phoneticPr fontId="2"/>
  </si>
  <si>
    <t>Ｙ-瑞光</t>
    <rPh sb="2" eb="3">
      <t>ズイ</t>
    </rPh>
    <rPh sb="3" eb="4">
      <t>ヒカリ</t>
    </rPh>
    <phoneticPr fontId="2"/>
  </si>
  <si>
    <t>Ｙ-上新庄</t>
    <rPh sb="2" eb="5">
      <t>カミシンジョウ</t>
    </rPh>
    <phoneticPr fontId="2"/>
  </si>
  <si>
    <t>Ｙ-下新庄</t>
    <rPh sb="2" eb="5">
      <t>シモシンジョウ</t>
    </rPh>
    <phoneticPr fontId="2"/>
  </si>
  <si>
    <t>東能勢</t>
    <rPh sb="0" eb="1">
      <t>ヒガシ</t>
    </rPh>
    <rPh sb="1" eb="2">
      <t>ノウ</t>
    </rPh>
    <rPh sb="2" eb="3">
      <t>イキオ</t>
    </rPh>
    <phoneticPr fontId="2"/>
  </si>
  <si>
    <t>搬入・荷受</t>
    <rPh sb="0" eb="2">
      <t>ハンニュウ</t>
    </rPh>
    <rPh sb="3" eb="5">
      <t>ニウケ</t>
    </rPh>
    <phoneticPr fontId="2"/>
  </si>
  <si>
    <t>担当</t>
    <rPh sb="0" eb="2">
      <t>タントウ</t>
    </rPh>
    <phoneticPr fontId="2"/>
  </si>
  <si>
    <t xml:space="preserve"> </t>
    <phoneticPr fontId="2"/>
  </si>
  <si>
    <t>部数</t>
    <rPh sb="0" eb="2">
      <t>ブスウ</t>
    </rPh>
    <phoneticPr fontId="2"/>
  </si>
  <si>
    <r>
      <t>株式会社　</t>
    </r>
    <r>
      <rPr>
        <sz val="11"/>
        <rFont val="ＭＳ Ｐゴシック"/>
        <family val="3"/>
        <charset val="128"/>
      </rPr>
      <t>神戸新聞総合折込</t>
    </r>
    <rPh sb="0" eb="4">
      <t>カブシキガイシャ</t>
    </rPh>
    <rPh sb="5" eb="9">
      <t>コウベシンブン</t>
    </rPh>
    <rPh sb="9" eb="11">
      <t>ソウゴウ</t>
    </rPh>
    <rPh sb="11" eb="13">
      <t>オリコミ</t>
    </rPh>
    <phoneticPr fontId="2"/>
  </si>
  <si>
    <r>
      <t>株式会社　</t>
    </r>
    <r>
      <rPr>
        <sz val="11"/>
        <rFont val="ＭＳ Ｐゴシック"/>
        <family val="3"/>
        <charset val="128"/>
      </rPr>
      <t>神戸新聞総合折込</t>
    </r>
    <rPh sb="0" eb="2">
      <t>カブシキ</t>
    </rPh>
    <rPh sb="2" eb="4">
      <t>カイシャ</t>
    </rPh>
    <rPh sb="5" eb="9">
      <t>コウベシンブン</t>
    </rPh>
    <rPh sb="9" eb="11">
      <t>ソウゴウ</t>
    </rPh>
    <rPh sb="11" eb="13">
      <t>オリコミ</t>
    </rPh>
    <phoneticPr fontId="2"/>
  </si>
  <si>
    <t>　</t>
    <phoneticPr fontId="2"/>
  </si>
  <si>
    <t xml:space="preserve"> </t>
    <phoneticPr fontId="2"/>
  </si>
  <si>
    <t>タイトル</t>
    <phoneticPr fontId="2"/>
  </si>
  <si>
    <t>サイズ     　　  　</t>
    <phoneticPr fontId="2"/>
  </si>
  <si>
    <t>【北・中・南河内】   寝屋川市</t>
    <rPh sb="1" eb="2">
      <t>キタ</t>
    </rPh>
    <rPh sb="3" eb="4">
      <t>ナカ</t>
    </rPh>
    <rPh sb="5" eb="6">
      <t>ミナミ</t>
    </rPh>
    <rPh sb="6" eb="8">
      <t>カワチ</t>
    </rPh>
    <rPh sb="12" eb="15">
      <t>ネヤガワ</t>
    </rPh>
    <rPh sb="15" eb="16">
      <t>シ</t>
    </rPh>
    <phoneticPr fontId="2"/>
  </si>
  <si>
    <t>東香里</t>
    <rPh sb="0" eb="1">
      <t>ヒガシ</t>
    </rPh>
    <rPh sb="1" eb="2">
      <t>カオル</t>
    </rPh>
    <rPh sb="2" eb="3">
      <t>サト</t>
    </rPh>
    <phoneticPr fontId="2"/>
  </si>
  <si>
    <t>光善寺</t>
    <rPh sb="0" eb="3">
      <t>コウゼンジ</t>
    </rPh>
    <phoneticPr fontId="2"/>
  </si>
  <si>
    <t>枚方</t>
    <rPh sb="0" eb="2">
      <t>ヒラカタ</t>
    </rPh>
    <phoneticPr fontId="2"/>
  </si>
  <si>
    <t>枚方南</t>
    <rPh sb="0" eb="2">
      <t>ヒラカタ</t>
    </rPh>
    <rPh sb="2" eb="3">
      <t>ミナミ</t>
    </rPh>
    <phoneticPr fontId="2"/>
  </si>
  <si>
    <t>津田</t>
    <rPh sb="0" eb="1">
      <t>ツ</t>
    </rPh>
    <rPh sb="1" eb="2">
      <t>タ</t>
    </rPh>
    <phoneticPr fontId="2"/>
  </si>
  <si>
    <t>枚方北</t>
    <rPh sb="0" eb="2">
      <t>ヒラカタ</t>
    </rPh>
    <rPh sb="2" eb="3">
      <t>キタ</t>
    </rPh>
    <phoneticPr fontId="2"/>
  </si>
  <si>
    <t>牧野東</t>
    <rPh sb="0" eb="2">
      <t>マキノ</t>
    </rPh>
    <rPh sb="2" eb="3">
      <t>ヒガシ</t>
    </rPh>
    <phoneticPr fontId="2"/>
  </si>
  <si>
    <t>吹田市</t>
    <rPh sb="0" eb="2">
      <t>スイタ</t>
    </rPh>
    <rPh sb="2" eb="3">
      <t>シ</t>
    </rPh>
    <phoneticPr fontId="2"/>
  </si>
  <si>
    <t>枚方東</t>
    <rPh sb="0" eb="2">
      <t>ヒラカタ</t>
    </rPh>
    <rPh sb="2" eb="3">
      <t>ヒガシ</t>
    </rPh>
    <phoneticPr fontId="2"/>
  </si>
  <si>
    <t>御殿山</t>
    <rPh sb="0" eb="1">
      <t>ゴ</t>
    </rPh>
    <rPh sb="1" eb="2">
      <t>トノ</t>
    </rPh>
    <rPh sb="2" eb="3">
      <t>ヤマ</t>
    </rPh>
    <phoneticPr fontId="2"/>
  </si>
  <si>
    <t>牧野</t>
    <rPh sb="0" eb="2">
      <t>マキノ</t>
    </rPh>
    <phoneticPr fontId="2"/>
  </si>
  <si>
    <t>長尾</t>
    <rPh sb="0" eb="2">
      <t>ナガオ</t>
    </rPh>
    <phoneticPr fontId="2"/>
  </si>
  <si>
    <t>東枚方</t>
    <rPh sb="0" eb="1">
      <t>ヒガシ</t>
    </rPh>
    <rPh sb="1" eb="3">
      <t>ヒラカタ</t>
    </rPh>
    <phoneticPr fontId="2"/>
  </si>
  <si>
    <t>香里ヶ丘</t>
    <rPh sb="0" eb="1">
      <t>カオ</t>
    </rPh>
    <rPh sb="1" eb="2">
      <t>サト</t>
    </rPh>
    <rPh sb="3" eb="4">
      <t>オカ</t>
    </rPh>
    <phoneticPr fontId="2"/>
  </si>
  <si>
    <t>招堤</t>
    <rPh sb="0" eb="1">
      <t>マネ</t>
    </rPh>
    <rPh sb="1" eb="2">
      <t>ツツミ</t>
    </rPh>
    <phoneticPr fontId="2"/>
  </si>
  <si>
    <t>香里園駅前</t>
    <rPh sb="0" eb="3">
      <t>コウリエン</t>
    </rPh>
    <rPh sb="3" eb="4">
      <t>エキ</t>
    </rPh>
    <rPh sb="4" eb="5">
      <t>マエ</t>
    </rPh>
    <phoneticPr fontId="2"/>
  </si>
  <si>
    <t>萱島</t>
    <rPh sb="0" eb="2">
      <t>カヤシマ</t>
    </rPh>
    <phoneticPr fontId="2"/>
  </si>
  <si>
    <t>寝屋川</t>
    <rPh sb="0" eb="3">
      <t>ネヤガワ</t>
    </rPh>
    <phoneticPr fontId="2"/>
  </si>
  <si>
    <t>香里</t>
    <rPh sb="0" eb="1">
      <t>カオ</t>
    </rPh>
    <rPh sb="1" eb="2">
      <t>サト</t>
    </rPh>
    <phoneticPr fontId="2"/>
  </si>
  <si>
    <t>三井</t>
    <rPh sb="0" eb="2">
      <t>ミツイ</t>
    </rPh>
    <phoneticPr fontId="2"/>
  </si>
  <si>
    <t>寝屋川東</t>
    <rPh sb="0" eb="3">
      <t>ネヤガワ</t>
    </rPh>
    <rPh sb="3" eb="4">
      <t>ヒガシ</t>
    </rPh>
    <phoneticPr fontId="2"/>
  </si>
  <si>
    <t>香里南</t>
    <rPh sb="0" eb="1">
      <t>カオ</t>
    </rPh>
    <rPh sb="1" eb="2">
      <t>サト</t>
    </rPh>
    <rPh sb="2" eb="3">
      <t>ミナミ</t>
    </rPh>
    <phoneticPr fontId="2"/>
  </si>
  <si>
    <t>寝屋川西</t>
    <rPh sb="0" eb="3">
      <t>ネヤガワ</t>
    </rPh>
    <rPh sb="3" eb="4">
      <t>ニシ</t>
    </rPh>
    <phoneticPr fontId="2"/>
  </si>
  <si>
    <t>寝屋川南</t>
    <rPh sb="0" eb="3">
      <t>ネヤガワ</t>
    </rPh>
    <rPh sb="3" eb="4">
      <t>ミナミ</t>
    </rPh>
    <phoneticPr fontId="2"/>
  </si>
  <si>
    <t>寝屋川北</t>
    <rPh sb="0" eb="3">
      <t>ネヤガワ</t>
    </rPh>
    <rPh sb="3" eb="4">
      <t>キタ</t>
    </rPh>
    <phoneticPr fontId="2"/>
  </si>
  <si>
    <t>寝屋川中央</t>
    <rPh sb="0" eb="3">
      <t>ネヤガワ</t>
    </rPh>
    <rPh sb="3" eb="5">
      <t>チュウオウ</t>
    </rPh>
    <phoneticPr fontId="2"/>
  </si>
  <si>
    <t>香里園</t>
    <rPh sb="0" eb="3">
      <t>コウリエン</t>
    </rPh>
    <phoneticPr fontId="2"/>
  </si>
  <si>
    <t>木屋</t>
    <rPh sb="0" eb="1">
      <t>キ</t>
    </rPh>
    <rPh sb="1" eb="2">
      <t>ヤ</t>
    </rPh>
    <phoneticPr fontId="2"/>
  </si>
  <si>
    <t>松屋町</t>
    <rPh sb="0" eb="2">
      <t>マツヤ</t>
    </rPh>
    <rPh sb="2" eb="3">
      <t>マチ</t>
    </rPh>
    <phoneticPr fontId="2"/>
  </si>
  <si>
    <t>Ｎ日経新聞</t>
    <rPh sb="1" eb="3">
      <t>ニッケイ</t>
    </rPh>
    <phoneticPr fontId="2"/>
  </si>
  <si>
    <t xml:space="preserve">              　　　  </t>
    <phoneticPr fontId="2"/>
  </si>
  <si>
    <t>墨江</t>
    <rPh sb="0" eb="2">
      <t>スミエ</t>
    </rPh>
    <phoneticPr fontId="2"/>
  </si>
  <si>
    <t>住吉中央</t>
    <rPh sb="0" eb="2">
      <t>スミヨシ</t>
    </rPh>
    <rPh sb="2" eb="4">
      <t>チュウオウ</t>
    </rPh>
    <phoneticPr fontId="2"/>
  </si>
  <si>
    <t>我孫子東</t>
    <rPh sb="0" eb="1">
      <t>ワレ</t>
    </rPh>
    <rPh sb="1" eb="3">
      <t>ソンシ</t>
    </rPh>
    <rPh sb="3" eb="4">
      <t>ヒガシ</t>
    </rPh>
    <phoneticPr fontId="2"/>
  </si>
  <si>
    <t>我孫子西</t>
    <rPh sb="0" eb="1">
      <t>ワレ</t>
    </rPh>
    <rPh sb="1" eb="3">
      <t>ソンシ</t>
    </rPh>
    <rPh sb="3" eb="4">
      <t>ニシ</t>
    </rPh>
    <phoneticPr fontId="2"/>
  </si>
  <si>
    <r>
      <t>株式会社　</t>
    </r>
    <r>
      <rPr>
        <sz val="11"/>
        <rFont val="ＭＳ Ｐゴシック"/>
        <family val="3"/>
        <charset val="128"/>
      </rPr>
      <t>神戸新聞総合折込</t>
    </r>
    <rPh sb="0" eb="2">
      <t>カブシキ</t>
    </rPh>
    <rPh sb="2" eb="4">
      <t>カイシャ</t>
    </rPh>
    <rPh sb="5" eb="9">
      <t>コウベシンブン</t>
    </rPh>
    <rPh sb="9" eb="11">
      <t>ソウゴウ</t>
    </rPh>
    <rPh sb="11" eb="13">
      <t>オリコミ</t>
    </rPh>
    <phoneticPr fontId="2"/>
  </si>
  <si>
    <t>Ｎｏ．</t>
    <phoneticPr fontId="2"/>
  </si>
  <si>
    <t xml:space="preserve"> 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</si>
  <si>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</si>
  <si>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</si>
  <si>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箕面西</t>
    <rPh sb="0" eb="2">
      <t>ミノオ</t>
    </rPh>
    <rPh sb="2" eb="3">
      <t>ニシ</t>
    </rPh>
    <phoneticPr fontId="2"/>
  </si>
  <si>
    <t>箕面</t>
    <rPh sb="0" eb="2">
      <t>ミノオ</t>
    </rPh>
    <phoneticPr fontId="2"/>
  </si>
  <si>
    <t>箕面東</t>
    <rPh sb="0" eb="2">
      <t>ミノオ</t>
    </rPh>
    <rPh sb="2" eb="3">
      <t>ヒガシ</t>
    </rPh>
    <phoneticPr fontId="2"/>
  </si>
  <si>
    <t>小野原</t>
    <rPh sb="0" eb="3">
      <t>オノハラ</t>
    </rPh>
    <phoneticPr fontId="2"/>
  </si>
  <si>
    <t>生野北</t>
    <rPh sb="0" eb="2">
      <t>イクノ</t>
    </rPh>
    <rPh sb="2" eb="3">
      <t>キタ</t>
    </rPh>
    <phoneticPr fontId="2"/>
  </si>
  <si>
    <t>箕面北</t>
    <rPh sb="0" eb="2">
      <t>ミノオ</t>
    </rPh>
    <rPh sb="2" eb="3">
      <t>キタ</t>
    </rPh>
    <phoneticPr fontId="2"/>
  </si>
  <si>
    <t>箕面中央</t>
    <rPh sb="0" eb="2">
      <t>ミノオ</t>
    </rPh>
    <rPh sb="2" eb="4">
      <t>チュウオウ</t>
    </rPh>
    <phoneticPr fontId="2"/>
  </si>
  <si>
    <t>吹田</t>
    <rPh sb="0" eb="2">
      <t>スイタ</t>
    </rPh>
    <phoneticPr fontId="2"/>
  </si>
  <si>
    <t>千里山田北</t>
    <rPh sb="0" eb="2">
      <t>センリ</t>
    </rPh>
    <rPh sb="2" eb="4">
      <t>ヤマダ</t>
    </rPh>
    <rPh sb="4" eb="5">
      <t>キタ</t>
    </rPh>
    <phoneticPr fontId="2"/>
  </si>
  <si>
    <t>江坂</t>
    <rPh sb="0" eb="2">
      <t>エサカ</t>
    </rPh>
    <phoneticPr fontId="2"/>
  </si>
  <si>
    <t>千里山田</t>
    <rPh sb="0" eb="2">
      <t>センリ</t>
    </rPh>
    <rPh sb="2" eb="4">
      <t>ヤマダ</t>
    </rPh>
    <phoneticPr fontId="2"/>
  </si>
  <si>
    <t>古江台</t>
    <rPh sb="0" eb="1">
      <t>フル</t>
    </rPh>
    <rPh sb="1" eb="2">
      <t>エ</t>
    </rPh>
    <rPh sb="2" eb="3">
      <t>ダイ</t>
    </rPh>
    <phoneticPr fontId="2"/>
  </si>
  <si>
    <t>千里山</t>
    <rPh sb="0" eb="3">
      <t>センリヤマ</t>
    </rPh>
    <phoneticPr fontId="2"/>
  </si>
  <si>
    <t>豊津</t>
    <rPh sb="0" eb="1">
      <t>ユタカ</t>
    </rPh>
    <rPh sb="1" eb="2">
      <t>ツ</t>
    </rPh>
    <phoneticPr fontId="2"/>
  </si>
  <si>
    <t>高野台</t>
    <rPh sb="0" eb="2">
      <t>タカノ</t>
    </rPh>
    <rPh sb="2" eb="3">
      <t>ダイ</t>
    </rPh>
    <phoneticPr fontId="2"/>
  </si>
  <si>
    <t>山田</t>
    <rPh sb="0" eb="2">
      <t>ヤマダ</t>
    </rPh>
    <phoneticPr fontId="2"/>
  </si>
  <si>
    <t>吹田南</t>
    <rPh sb="0" eb="2">
      <t>スイタ</t>
    </rPh>
    <rPh sb="2" eb="3">
      <t>ミナミ</t>
    </rPh>
    <phoneticPr fontId="2"/>
  </si>
  <si>
    <t>江坂南</t>
    <rPh sb="0" eb="2">
      <t>エサカ</t>
    </rPh>
    <rPh sb="2" eb="3">
      <t>ミナミ</t>
    </rPh>
    <phoneticPr fontId="2"/>
  </si>
  <si>
    <t>南千里</t>
    <rPh sb="0" eb="1">
      <t>ミナミ</t>
    </rPh>
    <rPh sb="1" eb="3">
      <t>センリ</t>
    </rPh>
    <phoneticPr fontId="2"/>
  </si>
  <si>
    <t>摂津南</t>
    <rPh sb="0" eb="2">
      <t>セッツ</t>
    </rPh>
    <rPh sb="2" eb="3">
      <t>ミナミ</t>
    </rPh>
    <phoneticPr fontId="2"/>
  </si>
  <si>
    <t>北千里</t>
    <rPh sb="0" eb="1">
      <t>キタ</t>
    </rPh>
    <rPh sb="1" eb="3">
      <t>センリ</t>
    </rPh>
    <phoneticPr fontId="2"/>
  </si>
  <si>
    <t>【北　部】   茨木市</t>
    <rPh sb="1" eb="2">
      <t>キタ</t>
    </rPh>
    <rPh sb="3" eb="4">
      <t>ブ</t>
    </rPh>
    <rPh sb="8" eb="10">
      <t>イバラギ</t>
    </rPh>
    <rPh sb="10" eb="11">
      <t>シ</t>
    </rPh>
    <phoneticPr fontId="2"/>
  </si>
  <si>
    <t>千里丘東</t>
    <rPh sb="0" eb="2">
      <t>センリ</t>
    </rPh>
    <rPh sb="2" eb="3">
      <t>オカ</t>
    </rPh>
    <rPh sb="3" eb="4">
      <t>ヒガシ</t>
    </rPh>
    <phoneticPr fontId="2"/>
  </si>
  <si>
    <t>真砂</t>
    <rPh sb="0" eb="1">
      <t>マ</t>
    </rPh>
    <rPh sb="1" eb="2">
      <t>スナ</t>
    </rPh>
    <phoneticPr fontId="2"/>
  </si>
  <si>
    <t>茨木南</t>
    <rPh sb="0" eb="2">
      <t>イバラギ</t>
    </rPh>
    <rPh sb="2" eb="3">
      <t>ミナミ</t>
    </rPh>
    <phoneticPr fontId="2"/>
  </si>
  <si>
    <t>茨木北</t>
    <rPh sb="0" eb="2">
      <t>イバラギ</t>
    </rPh>
    <rPh sb="2" eb="3">
      <t>キタ</t>
    </rPh>
    <phoneticPr fontId="2"/>
  </si>
  <si>
    <t>茨木東</t>
    <rPh sb="0" eb="2">
      <t>イバラギ</t>
    </rPh>
    <rPh sb="2" eb="3">
      <t>ヒガシ</t>
    </rPh>
    <phoneticPr fontId="2"/>
  </si>
  <si>
    <t>茨木</t>
    <rPh sb="0" eb="2">
      <t>イバラギ</t>
    </rPh>
    <phoneticPr fontId="2"/>
  </si>
  <si>
    <t>茨木西</t>
    <rPh sb="0" eb="2">
      <t>イバラギ</t>
    </rPh>
    <rPh sb="2" eb="3">
      <t>ニシ</t>
    </rPh>
    <phoneticPr fontId="2"/>
  </si>
  <si>
    <t>宿川原</t>
    <rPh sb="0" eb="1">
      <t>シュク</t>
    </rPh>
    <rPh sb="1" eb="2">
      <t>カワ</t>
    </rPh>
    <rPh sb="2" eb="3">
      <t>ハラ</t>
    </rPh>
    <phoneticPr fontId="2"/>
  </si>
  <si>
    <t>徳庵今津</t>
    <rPh sb="0" eb="2">
      <t>トクアン</t>
    </rPh>
    <rPh sb="2" eb="3">
      <t>イマ</t>
    </rPh>
    <rPh sb="3" eb="4">
      <t>ツ</t>
    </rPh>
    <phoneticPr fontId="2"/>
  </si>
  <si>
    <t>和泉橋本</t>
    <rPh sb="0" eb="2">
      <t>イズミ</t>
    </rPh>
    <rPh sb="2" eb="4">
      <t>ハシモト</t>
    </rPh>
    <phoneticPr fontId="2"/>
  </si>
  <si>
    <t>ｴｷｽﾎﾟ茨木</t>
    <rPh sb="5" eb="7">
      <t>イバラギ</t>
    </rPh>
    <phoneticPr fontId="2"/>
  </si>
  <si>
    <t>新郡山</t>
    <rPh sb="0" eb="1">
      <t>シン</t>
    </rPh>
    <rPh sb="1" eb="3">
      <t>コオリヤマ</t>
    </rPh>
    <phoneticPr fontId="2"/>
  </si>
  <si>
    <t>茨木中央</t>
    <rPh sb="0" eb="2">
      <t>イバラギ</t>
    </rPh>
    <rPh sb="2" eb="4">
      <t>チュウオウ</t>
    </rPh>
    <phoneticPr fontId="2"/>
  </si>
  <si>
    <t>総持寺</t>
    <rPh sb="0" eb="1">
      <t>ソウ</t>
    </rPh>
    <rPh sb="1" eb="2">
      <t>モ</t>
    </rPh>
    <rPh sb="2" eb="3">
      <t>テラ</t>
    </rPh>
    <phoneticPr fontId="2"/>
  </si>
  <si>
    <t xml:space="preserve"> </t>
    <phoneticPr fontId="2"/>
  </si>
  <si>
    <t>タイトル</t>
    <phoneticPr fontId="2"/>
  </si>
  <si>
    <t>サイズ</t>
    <phoneticPr fontId="2"/>
  </si>
  <si>
    <t>富田</t>
    <rPh sb="0" eb="2">
      <t>トンダ</t>
    </rPh>
    <phoneticPr fontId="2"/>
  </si>
  <si>
    <t>富田南</t>
    <rPh sb="0" eb="2">
      <t>トンダ</t>
    </rPh>
    <rPh sb="2" eb="3">
      <t>ミナミ</t>
    </rPh>
    <phoneticPr fontId="2"/>
  </si>
  <si>
    <t>柱本</t>
    <rPh sb="0" eb="1">
      <t>ハシラ</t>
    </rPh>
    <rPh sb="1" eb="2">
      <t>ホン</t>
    </rPh>
    <phoneticPr fontId="2"/>
  </si>
  <si>
    <t>富田北</t>
    <rPh sb="0" eb="2">
      <t>トンダ</t>
    </rPh>
    <rPh sb="2" eb="3">
      <t>キタ</t>
    </rPh>
    <phoneticPr fontId="2"/>
  </si>
  <si>
    <t>高槻</t>
    <rPh sb="0" eb="2">
      <t>タカツキ</t>
    </rPh>
    <phoneticPr fontId="2"/>
  </si>
  <si>
    <t>下田部</t>
    <rPh sb="0" eb="2">
      <t>シモダ</t>
    </rPh>
    <rPh sb="2" eb="3">
      <t>ベ</t>
    </rPh>
    <phoneticPr fontId="2"/>
  </si>
  <si>
    <t>安岡寺</t>
    <rPh sb="0" eb="2">
      <t>ヤスオカ</t>
    </rPh>
    <rPh sb="2" eb="3">
      <t>テラ</t>
    </rPh>
    <phoneticPr fontId="2"/>
  </si>
  <si>
    <t>高槻北</t>
    <rPh sb="0" eb="2">
      <t>タカツキ</t>
    </rPh>
    <rPh sb="2" eb="3">
      <t>キタ</t>
    </rPh>
    <phoneticPr fontId="2"/>
  </si>
  <si>
    <t>高槻南</t>
    <rPh sb="0" eb="2">
      <t>タカツキ</t>
    </rPh>
    <rPh sb="2" eb="3">
      <t>ミナミ</t>
    </rPh>
    <phoneticPr fontId="2"/>
  </si>
  <si>
    <t>深沢下田部</t>
    <rPh sb="0" eb="2">
      <t>フカザワ</t>
    </rPh>
    <rPh sb="2" eb="3">
      <t>シモ</t>
    </rPh>
    <rPh sb="3" eb="4">
      <t>タ</t>
    </rPh>
    <rPh sb="4" eb="5">
      <t>ベ</t>
    </rPh>
    <phoneticPr fontId="2"/>
  </si>
  <si>
    <t>摂津富田</t>
    <rPh sb="0" eb="2">
      <t>セッツ</t>
    </rPh>
    <rPh sb="2" eb="4">
      <t>トンダ</t>
    </rPh>
    <phoneticPr fontId="2"/>
  </si>
  <si>
    <t>高槻中央</t>
    <rPh sb="0" eb="2">
      <t>タカツキ</t>
    </rPh>
    <rPh sb="2" eb="4">
      <t>チュウオウ</t>
    </rPh>
    <phoneticPr fontId="2"/>
  </si>
  <si>
    <t>高槻西</t>
    <rPh sb="0" eb="2">
      <t>タカツキ</t>
    </rPh>
    <rPh sb="2" eb="3">
      <t>ニシ</t>
    </rPh>
    <phoneticPr fontId="2"/>
  </si>
  <si>
    <t>高槻東</t>
    <rPh sb="0" eb="2">
      <t>タカツキ</t>
    </rPh>
    <rPh sb="2" eb="3">
      <t>ヒガシ</t>
    </rPh>
    <phoneticPr fontId="2"/>
  </si>
  <si>
    <t>高槻川西</t>
    <rPh sb="0" eb="2">
      <t>タカツキ</t>
    </rPh>
    <rPh sb="2" eb="4">
      <t>カワニシ</t>
    </rPh>
    <phoneticPr fontId="2"/>
  </si>
  <si>
    <t>りんくうＴ</t>
    <phoneticPr fontId="2"/>
  </si>
  <si>
    <t>富田中央</t>
    <rPh sb="0" eb="2">
      <t>トンダ</t>
    </rPh>
    <rPh sb="2" eb="4">
      <t>チュウオウ</t>
    </rPh>
    <phoneticPr fontId="2"/>
  </si>
  <si>
    <t>富田東部</t>
    <rPh sb="0" eb="2">
      <t>トンダ</t>
    </rPh>
    <rPh sb="2" eb="4">
      <t>トウブ</t>
    </rPh>
    <phoneticPr fontId="2"/>
  </si>
  <si>
    <t>【北　部】   三島郡</t>
    <rPh sb="1" eb="2">
      <t>キタ</t>
    </rPh>
    <rPh sb="3" eb="4">
      <t>ブ</t>
    </rPh>
    <rPh sb="8" eb="10">
      <t>ミシマ</t>
    </rPh>
    <rPh sb="10" eb="11">
      <t>グン</t>
    </rPh>
    <phoneticPr fontId="2"/>
  </si>
  <si>
    <t>Ｙ-江坂南</t>
    <rPh sb="2" eb="4">
      <t>エサカ</t>
    </rPh>
    <rPh sb="4" eb="5">
      <t>ミナミ</t>
    </rPh>
    <phoneticPr fontId="2"/>
  </si>
  <si>
    <t>Ｙ-江坂</t>
    <rPh sb="2" eb="4">
      <t>エサカ</t>
    </rPh>
    <phoneticPr fontId="2"/>
  </si>
  <si>
    <t>【北　部】   摂津市</t>
    <rPh sb="1" eb="2">
      <t>キタ</t>
    </rPh>
    <rPh sb="3" eb="4">
      <t>ブ</t>
    </rPh>
    <rPh sb="8" eb="10">
      <t>セッツ</t>
    </rPh>
    <rPh sb="10" eb="11">
      <t>シ</t>
    </rPh>
    <phoneticPr fontId="2"/>
  </si>
  <si>
    <t>正雀</t>
    <rPh sb="0" eb="1">
      <t>タダ</t>
    </rPh>
    <rPh sb="1" eb="2">
      <t>スズメ</t>
    </rPh>
    <phoneticPr fontId="2"/>
  </si>
  <si>
    <t>千里丘</t>
    <rPh sb="0" eb="2">
      <t>センリ</t>
    </rPh>
    <rPh sb="2" eb="3">
      <t>オカ</t>
    </rPh>
    <phoneticPr fontId="2"/>
  </si>
  <si>
    <t>摂津</t>
    <rPh sb="0" eb="2">
      <t>セッツ</t>
    </rPh>
    <phoneticPr fontId="2"/>
  </si>
  <si>
    <t>請求先</t>
    <rPh sb="0" eb="3">
      <t>セイキュウサキ</t>
    </rPh>
    <phoneticPr fontId="2"/>
  </si>
  <si>
    <t>担当</t>
    <rPh sb="0" eb="2">
      <t>タントウシャ</t>
    </rPh>
    <phoneticPr fontId="2"/>
  </si>
  <si>
    <t>担当</t>
    <rPh sb="0" eb="2">
      <t>タントウ</t>
    </rPh>
    <phoneticPr fontId="2"/>
  </si>
  <si>
    <t>タイトル</t>
    <phoneticPr fontId="2"/>
  </si>
  <si>
    <t>サイズ</t>
    <phoneticPr fontId="2"/>
  </si>
  <si>
    <t>配布</t>
    <rPh sb="0" eb="2">
      <t>ハイフ</t>
    </rPh>
    <phoneticPr fontId="2"/>
  </si>
  <si>
    <t>搬入・荷受</t>
    <rPh sb="0" eb="2">
      <t>ハンニュウ</t>
    </rPh>
    <rPh sb="3" eb="5">
      <t>ニウケ</t>
    </rPh>
    <phoneticPr fontId="2"/>
  </si>
  <si>
    <t>枚数</t>
    <rPh sb="0" eb="2">
      <t>マイスウ</t>
    </rPh>
    <phoneticPr fontId="2"/>
  </si>
  <si>
    <t>Ａ朝日新聞</t>
    <rPh sb="1" eb="3">
      <t>アサヒ</t>
    </rPh>
    <rPh sb="3" eb="5">
      <t>シンブン</t>
    </rPh>
    <phoneticPr fontId="2"/>
  </si>
  <si>
    <t>Ｍ毎日新聞</t>
    <rPh sb="1" eb="3">
      <t>マイニチ</t>
    </rPh>
    <rPh sb="3" eb="5">
      <t>シンブン</t>
    </rPh>
    <phoneticPr fontId="2"/>
  </si>
  <si>
    <t>喜志</t>
    <rPh sb="0" eb="1">
      <t>ヨロコ</t>
    </rPh>
    <rPh sb="1" eb="2">
      <t>ココロザシ</t>
    </rPh>
    <phoneticPr fontId="2"/>
  </si>
  <si>
    <t>古川橋北</t>
    <rPh sb="0" eb="2">
      <t>フルカワ</t>
    </rPh>
    <rPh sb="2" eb="3">
      <t>バシ</t>
    </rPh>
    <rPh sb="3" eb="4">
      <t>キタ</t>
    </rPh>
    <phoneticPr fontId="2"/>
  </si>
  <si>
    <t>大和田中央</t>
    <rPh sb="0" eb="2">
      <t>ヤマト</t>
    </rPh>
    <rPh sb="2" eb="3">
      <t>タ</t>
    </rPh>
    <rPh sb="3" eb="5">
      <t>チュウオウ</t>
    </rPh>
    <phoneticPr fontId="2"/>
  </si>
  <si>
    <t>【北・中・南河内】   大阪狭山市</t>
    <rPh sb="1" eb="2">
      <t>キタ</t>
    </rPh>
    <rPh sb="3" eb="4">
      <t>ナカ</t>
    </rPh>
    <rPh sb="5" eb="6">
      <t>ミナミ</t>
    </rPh>
    <rPh sb="6" eb="8">
      <t>カワチ</t>
    </rPh>
    <rPh sb="12" eb="14">
      <t>オオサカ</t>
    </rPh>
    <rPh sb="14" eb="16">
      <t>サヤマ</t>
    </rPh>
    <rPh sb="16" eb="17">
      <t>シ</t>
    </rPh>
    <phoneticPr fontId="2"/>
  </si>
  <si>
    <t>深井中央</t>
    <rPh sb="0" eb="2">
      <t>フカイ</t>
    </rPh>
    <rPh sb="2" eb="4">
      <t>チュウオウ</t>
    </rPh>
    <phoneticPr fontId="2"/>
  </si>
  <si>
    <t>Ｓ産経新聞</t>
    <rPh sb="1" eb="3">
      <t>サンケイ</t>
    </rPh>
    <rPh sb="3" eb="5">
      <t>シンブン</t>
    </rPh>
    <phoneticPr fontId="2"/>
  </si>
  <si>
    <t>（備考）</t>
    <rPh sb="1" eb="3">
      <t>ビコウ</t>
    </rPh>
    <phoneticPr fontId="2"/>
  </si>
  <si>
    <t>販売店</t>
    <rPh sb="0" eb="2">
      <t>ハンバイショ</t>
    </rPh>
    <rPh sb="2" eb="3">
      <t>テン</t>
    </rPh>
    <phoneticPr fontId="2"/>
  </si>
  <si>
    <t>部数</t>
    <rPh sb="0" eb="2">
      <t>ブスウ</t>
    </rPh>
    <phoneticPr fontId="2"/>
  </si>
  <si>
    <t>注</t>
    <rPh sb="0" eb="1">
      <t>チュウイ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</si>
  <si>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</si>
  <si>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</si>
  <si>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【北・中・南河内】   東大阪市</t>
    <rPh sb="1" eb="2">
      <t>キタ</t>
    </rPh>
    <rPh sb="3" eb="4">
      <t>ナカ</t>
    </rPh>
    <rPh sb="5" eb="6">
      <t>ミナミ</t>
    </rPh>
    <rPh sb="6" eb="8">
      <t>カワチ</t>
    </rPh>
    <rPh sb="12" eb="13">
      <t>ヒガシ</t>
    </rPh>
    <rPh sb="13" eb="15">
      <t>オオサカ</t>
    </rPh>
    <rPh sb="15" eb="16">
      <t>シ</t>
    </rPh>
    <phoneticPr fontId="2"/>
  </si>
  <si>
    <t>石切</t>
    <rPh sb="0" eb="2">
      <t>イシキリ</t>
    </rPh>
    <phoneticPr fontId="2"/>
  </si>
  <si>
    <t>瓢箪山</t>
    <rPh sb="0" eb="2">
      <t>ヒョウタン</t>
    </rPh>
    <rPh sb="2" eb="3">
      <t>ヤマ</t>
    </rPh>
    <phoneticPr fontId="2"/>
  </si>
  <si>
    <t>若江</t>
    <rPh sb="0" eb="2">
      <t>ワカエ</t>
    </rPh>
    <phoneticPr fontId="2"/>
  </si>
  <si>
    <t>盾津</t>
    <rPh sb="0" eb="1">
      <t>タテ</t>
    </rPh>
    <rPh sb="1" eb="2">
      <t>ツ</t>
    </rPh>
    <phoneticPr fontId="2"/>
  </si>
  <si>
    <t>小阪</t>
    <rPh sb="0" eb="2">
      <t>コサカ</t>
    </rPh>
    <phoneticPr fontId="2"/>
  </si>
  <si>
    <t>若江岩田</t>
    <rPh sb="0" eb="4">
      <t>ワカエイワタ</t>
    </rPh>
    <phoneticPr fontId="2"/>
  </si>
  <si>
    <t>花園瓢箪山</t>
    <rPh sb="0" eb="2">
      <t>ハナゾノ</t>
    </rPh>
    <rPh sb="2" eb="4">
      <t>ヒョウタン</t>
    </rPh>
    <rPh sb="4" eb="5">
      <t>ヤマ</t>
    </rPh>
    <phoneticPr fontId="2"/>
  </si>
  <si>
    <t>長瀬</t>
    <rPh sb="0" eb="2">
      <t>ナガセ</t>
    </rPh>
    <phoneticPr fontId="2"/>
  </si>
  <si>
    <t>長瀬中央弥刀</t>
    <rPh sb="0" eb="2">
      <t>ナガセ</t>
    </rPh>
    <rPh sb="2" eb="4">
      <t>チュウオウ</t>
    </rPh>
    <rPh sb="4" eb="5">
      <t>ヤ</t>
    </rPh>
    <rPh sb="5" eb="6">
      <t>カタナ</t>
    </rPh>
    <phoneticPr fontId="2"/>
  </si>
  <si>
    <t>瓢箪山南</t>
    <rPh sb="0" eb="2">
      <t>ヒョウタン</t>
    </rPh>
    <rPh sb="2" eb="3">
      <t>ヤマ</t>
    </rPh>
    <rPh sb="3" eb="4">
      <t>ミナミ</t>
    </rPh>
    <phoneticPr fontId="2"/>
  </si>
  <si>
    <t>布施</t>
    <rPh sb="0" eb="2">
      <t>フセ</t>
    </rPh>
    <phoneticPr fontId="2"/>
  </si>
  <si>
    <t>布施東</t>
    <rPh sb="0" eb="2">
      <t>フセ</t>
    </rPh>
    <rPh sb="2" eb="3">
      <t>ヒガシ</t>
    </rPh>
    <phoneticPr fontId="2"/>
  </si>
  <si>
    <t>弥刀</t>
    <rPh sb="0" eb="1">
      <t>ヤ</t>
    </rPh>
    <rPh sb="1" eb="2">
      <t>カタナ</t>
    </rPh>
    <phoneticPr fontId="2"/>
  </si>
  <si>
    <t>上小阪</t>
    <rPh sb="0" eb="1">
      <t>ウエ</t>
    </rPh>
    <rPh sb="1" eb="3">
      <t>コサカ</t>
    </rPh>
    <phoneticPr fontId="2"/>
  </si>
  <si>
    <t>長瀬東</t>
    <rPh sb="0" eb="2">
      <t>ナガセ</t>
    </rPh>
    <rPh sb="2" eb="3">
      <t>ヒガシ</t>
    </rPh>
    <phoneticPr fontId="2"/>
  </si>
  <si>
    <t>鴻池</t>
    <rPh sb="0" eb="1">
      <t>オオトリ</t>
    </rPh>
    <rPh sb="1" eb="2">
      <t>イケ</t>
    </rPh>
    <phoneticPr fontId="2"/>
  </si>
  <si>
    <t>ひょうたん山</t>
    <rPh sb="5" eb="6">
      <t>ヤマ</t>
    </rPh>
    <phoneticPr fontId="2"/>
  </si>
  <si>
    <t>長瀬南</t>
    <rPh sb="0" eb="2">
      <t>ナガセ</t>
    </rPh>
    <rPh sb="2" eb="3">
      <t>ミナミ</t>
    </rPh>
    <phoneticPr fontId="2"/>
  </si>
  <si>
    <t>吉田</t>
    <rPh sb="0" eb="2">
      <t>ヨシダ</t>
    </rPh>
    <phoneticPr fontId="2"/>
  </si>
  <si>
    <t xml:space="preserve"> </t>
    <phoneticPr fontId="2"/>
  </si>
  <si>
    <t>タイトル</t>
    <phoneticPr fontId="2"/>
  </si>
  <si>
    <t>サイズ</t>
    <phoneticPr fontId="2"/>
  </si>
  <si>
    <t>【北・中・南河内】   八尾市</t>
    <rPh sb="1" eb="2">
      <t>キタ</t>
    </rPh>
    <rPh sb="3" eb="4">
      <t>ナカ</t>
    </rPh>
    <rPh sb="5" eb="6">
      <t>ミナミ</t>
    </rPh>
    <rPh sb="6" eb="8">
      <t>カワチ</t>
    </rPh>
    <rPh sb="12" eb="14">
      <t>ヤオ</t>
    </rPh>
    <rPh sb="14" eb="15">
      <t>シ</t>
    </rPh>
    <phoneticPr fontId="2"/>
  </si>
  <si>
    <t>【北・中・南河内】   柏原市</t>
    <rPh sb="1" eb="2">
      <t>キタ</t>
    </rPh>
    <rPh sb="3" eb="4">
      <t>ナカ</t>
    </rPh>
    <rPh sb="5" eb="6">
      <t>ミナミ</t>
    </rPh>
    <rPh sb="6" eb="8">
      <t>カワチ</t>
    </rPh>
    <rPh sb="12" eb="14">
      <t>カシハラ</t>
    </rPh>
    <rPh sb="14" eb="15">
      <t>シ</t>
    </rPh>
    <phoneticPr fontId="2"/>
  </si>
  <si>
    <t>【北・中・南河内】   松原市</t>
    <rPh sb="1" eb="2">
      <t>キタ</t>
    </rPh>
    <rPh sb="3" eb="4">
      <t>ナカ</t>
    </rPh>
    <rPh sb="5" eb="6">
      <t>ミナミ</t>
    </rPh>
    <rPh sb="6" eb="8">
      <t>カワチ</t>
    </rPh>
    <rPh sb="12" eb="14">
      <t>マツバラ</t>
    </rPh>
    <rPh sb="14" eb="15">
      <t>シ</t>
    </rPh>
    <phoneticPr fontId="2"/>
  </si>
  <si>
    <t>八尾東</t>
    <rPh sb="0" eb="2">
      <t>ヤオ</t>
    </rPh>
    <rPh sb="2" eb="3">
      <t>ヒガシ</t>
    </rPh>
    <phoneticPr fontId="2"/>
  </si>
  <si>
    <t>高安</t>
    <rPh sb="0" eb="1">
      <t>タカ</t>
    </rPh>
    <rPh sb="1" eb="2">
      <t>アン</t>
    </rPh>
    <phoneticPr fontId="2"/>
  </si>
  <si>
    <t>山本</t>
    <rPh sb="0" eb="2">
      <t>ヤマモト</t>
    </rPh>
    <phoneticPr fontId="2"/>
  </si>
  <si>
    <t>北山本</t>
    <rPh sb="0" eb="1">
      <t>キタ</t>
    </rPh>
    <rPh sb="1" eb="3">
      <t>ヤマモト</t>
    </rPh>
    <phoneticPr fontId="2"/>
  </si>
  <si>
    <t>八尾北</t>
    <rPh sb="0" eb="2">
      <t>ヤオ</t>
    </rPh>
    <rPh sb="2" eb="3">
      <t>キタ</t>
    </rPh>
    <phoneticPr fontId="2"/>
  </si>
  <si>
    <t>八尾</t>
    <rPh sb="0" eb="2">
      <t>ヤオ</t>
    </rPh>
    <phoneticPr fontId="2"/>
  </si>
  <si>
    <t>八尾南</t>
    <rPh sb="0" eb="2">
      <t>ヤオ</t>
    </rPh>
    <rPh sb="2" eb="3">
      <t>ミナミ</t>
    </rPh>
    <phoneticPr fontId="2"/>
  </si>
  <si>
    <t>山本高安</t>
    <rPh sb="0" eb="2">
      <t>ヤマモト</t>
    </rPh>
    <rPh sb="2" eb="3">
      <t>タカ</t>
    </rPh>
    <rPh sb="3" eb="4">
      <t>アン</t>
    </rPh>
    <phoneticPr fontId="2"/>
  </si>
  <si>
    <t>Ｍ-大道豊里</t>
    <rPh sb="2" eb="4">
      <t>ダイドウ</t>
    </rPh>
    <rPh sb="4" eb="5">
      <t>ユタ</t>
    </rPh>
    <rPh sb="5" eb="6">
      <t>サト</t>
    </rPh>
    <phoneticPr fontId="2"/>
  </si>
  <si>
    <t>Ｙ-みなと中央</t>
    <rPh sb="5" eb="7">
      <t>チュウオウ</t>
    </rPh>
    <phoneticPr fontId="2"/>
  </si>
  <si>
    <t>恩智</t>
    <rPh sb="0" eb="1">
      <t>オン</t>
    </rPh>
    <rPh sb="1" eb="2">
      <t>トモ</t>
    </rPh>
    <phoneticPr fontId="2"/>
  </si>
  <si>
    <t>太子堂</t>
    <rPh sb="0" eb="2">
      <t>タイシ</t>
    </rPh>
    <rPh sb="2" eb="3">
      <t>ドウ</t>
    </rPh>
    <phoneticPr fontId="2"/>
  </si>
  <si>
    <t>志紀</t>
    <rPh sb="0" eb="1">
      <t>ココロザシ</t>
    </rPh>
    <rPh sb="1" eb="2">
      <t>キ</t>
    </rPh>
    <phoneticPr fontId="2"/>
  </si>
  <si>
    <t>蛍池・石橋</t>
    <rPh sb="0" eb="2">
      <t>ホタルガイケ</t>
    </rPh>
    <rPh sb="3" eb="5">
      <t>イシバシ</t>
    </rPh>
    <phoneticPr fontId="2"/>
  </si>
  <si>
    <t>千里</t>
    <rPh sb="0" eb="2">
      <t>センリ</t>
    </rPh>
    <phoneticPr fontId="2"/>
  </si>
  <si>
    <t>住ノ道南</t>
    <rPh sb="0" eb="1">
      <t>ジュウ</t>
    </rPh>
    <rPh sb="2" eb="3">
      <t>ドウ</t>
    </rPh>
    <rPh sb="3" eb="4">
      <t>ミナミ</t>
    </rPh>
    <phoneticPr fontId="2"/>
  </si>
  <si>
    <t>久宝寺</t>
    <rPh sb="0" eb="3">
      <t>キュウホウジ</t>
    </rPh>
    <phoneticPr fontId="2"/>
  </si>
  <si>
    <t>山本北</t>
    <rPh sb="0" eb="2">
      <t>ヤマモト</t>
    </rPh>
    <rPh sb="2" eb="3">
      <t>キタ</t>
    </rPh>
    <phoneticPr fontId="2"/>
  </si>
  <si>
    <t>大阪府南部</t>
  </si>
  <si>
    <t>柏原</t>
    <rPh sb="0" eb="2">
      <t>カシハラ</t>
    </rPh>
    <phoneticPr fontId="2"/>
  </si>
  <si>
    <t>国分</t>
    <rPh sb="0" eb="2">
      <t>コクブン</t>
    </rPh>
    <phoneticPr fontId="2"/>
  </si>
  <si>
    <t>松原西</t>
    <rPh sb="0" eb="2">
      <t>マツバラ</t>
    </rPh>
    <rPh sb="2" eb="3">
      <t>ニシ</t>
    </rPh>
    <phoneticPr fontId="2"/>
  </si>
  <si>
    <t>松原</t>
    <rPh sb="0" eb="2">
      <t>マツバラ</t>
    </rPh>
    <phoneticPr fontId="2"/>
  </si>
  <si>
    <t>松原南</t>
    <rPh sb="0" eb="2">
      <t>マツバラ</t>
    </rPh>
    <rPh sb="2" eb="3">
      <t>ミナミ</t>
    </rPh>
    <phoneticPr fontId="2"/>
  </si>
  <si>
    <t>松原中央</t>
    <rPh sb="0" eb="2">
      <t>マツバラ</t>
    </rPh>
    <rPh sb="2" eb="4">
      <t>チュウオウ</t>
    </rPh>
    <phoneticPr fontId="2"/>
  </si>
  <si>
    <t>高見ノ里</t>
    <rPh sb="0" eb="2">
      <t>タカミ</t>
    </rPh>
    <rPh sb="3" eb="4">
      <t>サト</t>
    </rPh>
    <phoneticPr fontId="2"/>
  </si>
  <si>
    <t>天美我堂</t>
    <rPh sb="0" eb="2">
      <t>アマミ</t>
    </rPh>
    <rPh sb="2" eb="3">
      <t>ワ</t>
    </rPh>
    <rPh sb="3" eb="4">
      <t>ドウ</t>
    </rPh>
    <phoneticPr fontId="2"/>
  </si>
  <si>
    <t>高石東</t>
    <rPh sb="0" eb="1">
      <t>タカ</t>
    </rPh>
    <rPh sb="1" eb="2">
      <t>イシ</t>
    </rPh>
    <rPh sb="2" eb="3">
      <t>ヒガシ</t>
    </rPh>
    <phoneticPr fontId="2"/>
  </si>
  <si>
    <t>星田団地</t>
    <rPh sb="0" eb="2">
      <t>ホシダ</t>
    </rPh>
    <rPh sb="2" eb="4">
      <t>ダンチ</t>
    </rPh>
    <phoneticPr fontId="2"/>
  </si>
  <si>
    <t>箱作・岬</t>
    <rPh sb="0" eb="1">
      <t>ハコ</t>
    </rPh>
    <rPh sb="1" eb="2">
      <t>サク</t>
    </rPh>
    <rPh sb="3" eb="4">
      <t>ミサキ</t>
    </rPh>
    <phoneticPr fontId="2"/>
  </si>
  <si>
    <t xml:space="preserve"> </t>
    <phoneticPr fontId="2"/>
  </si>
  <si>
    <t>タイトル</t>
    <phoneticPr fontId="2"/>
  </si>
  <si>
    <t>サイズ     　　  　</t>
    <phoneticPr fontId="2"/>
  </si>
  <si>
    <t>【北・中・南河内】   羽曳野市</t>
    <rPh sb="1" eb="2">
      <t>キタ</t>
    </rPh>
    <rPh sb="3" eb="4">
      <t>ナカ</t>
    </rPh>
    <rPh sb="5" eb="6">
      <t>ミナミ</t>
    </rPh>
    <rPh sb="6" eb="8">
      <t>カワチ</t>
    </rPh>
    <rPh sb="12" eb="16">
      <t>ハビキノシ</t>
    </rPh>
    <phoneticPr fontId="2"/>
  </si>
  <si>
    <t>恵我之荘</t>
    <rPh sb="0" eb="1">
      <t>メグ</t>
    </rPh>
    <rPh sb="1" eb="2">
      <t>ワ</t>
    </rPh>
    <rPh sb="2" eb="3">
      <t>ノ</t>
    </rPh>
    <rPh sb="3" eb="4">
      <t>ソウ</t>
    </rPh>
    <phoneticPr fontId="2"/>
  </si>
  <si>
    <t>羽曳ヶ丘</t>
    <rPh sb="0" eb="2">
      <t>ハビキ</t>
    </rPh>
    <rPh sb="3" eb="4">
      <t>オカ</t>
    </rPh>
    <phoneticPr fontId="2"/>
  </si>
  <si>
    <t>Ｍ-天下茶屋</t>
    <rPh sb="2" eb="4">
      <t>テンカ</t>
    </rPh>
    <rPh sb="4" eb="6">
      <t>チャヤ</t>
    </rPh>
    <phoneticPr fontId="2"/>
  </si>
  <si>
    <t>高鷲</t>
    <rPh sb="0" eb="1">
      <t>タカ</t>
    </rPh>
    <rPh sb="1" eb="2">
      <t>ワシ</t>
    </rPh>
    <phoneticPr fontId="2"/>
  </si>
  <si>
    <t>羽曳野</t>
    <rPh sb="0" eb="3">
      <t>ハビキノ</t>
    </rPh>
    <phoneticPr fontId="2"/>
  </si>
  <si>
    <t>【北・中・南河内】   藤井寺市</t>
    <rPh sb="1" eb="2">
      <t>キタ</t>
    </rPh>
    <rPh sb="3" eb="4">
      <t>ナカ</t>
    </rPh>
    <rPh sb="5" eb="6">
      <t>ミナミ</t>
    </rPh>
    <rPh sb="6" eb="8">
      <t>カワチ</t>
    </rPh>
    <rPh sb="12" eb="15">
      <t>フジイデラ</t>
    </rPh>
    <rPh sb="15" eb="16">
      <t>シ</t>
    </rPh>
    <phoneticPr fontId="2"/>
  </si>
  <si>
    <t xml:space="preserve"> </t>
    <phoneticPr fontId="2"/>
  </si>
  <si>
    <t>タイトル</t>
    <phoneticPr fontId="2"/>
  </si>
  <si>
    <t xml:space="preserve">サイズ </t>
    <phoneticPr fontId="2"/>
  </si>
  <si>
    <t>サイズ     　　  　</t>
    <phoneticPr fontId="2"/>
  </si>
  <si>
    <t>ローズタウン</t>
    <phoneticPr fontId="2"/>
  </si>
  <si>
    <t>くずは</t>
    <phoneticPr fontId="2"/>
  </si>
  <si>
    <t>藤井寺</t>
    <rPh sb="0" eb="2">
      <t>フジイ</t>
    </rPh>
    <rPh sb="2" eb="3">
      <t>デラ</t>
    </rPh>
    <phoneticPr fontId="2"/>
  </si>
  <si>
    <t>藤井寺東</t>
    <rPh sb="0" eb="3">
      <t>フジイデラ</t>
    </rPh>
    <rPh sb="3" eb="4">
      <t>ヒガシ</t>
    </rPh>
    <phoneticPr fontId="2"/>
  </si>
  <si>
    <t>藤井寺北</t>
    <rPh sb="0" eb="3">
      <t>フジイデラ</t>
    </rPh>
    <rPh sb="3" eb="4">
      <t>キタ</t>
    </rPh>
    <phoneticPr fontId="2"/>
  </si>
  <si>
    <t>土師ノ里</t>
    <rPh sb="0" eb="1">
      <t>ツチ</t>
    </rPh>
    <rPh sb="1" eb="2">
      <t>シ</t>
    </rPh>
    <rPh sb="3" eb="4">
      <t>サト</t>
    </rPh>
    <phoneticPr fontId="2"/>
  </si>
  <si>
    <t>藤井寺</t>
    <rPh sb="0" eb="3">
      <t>フジイデラ</t>
    </rPh>
    <phoneticPr fontId="2"/>
  </si>
  <si>
    <t xml:space="preserve"> </t>
    <phoneticPr fontId="2"/>
  </si>
  <si>
    <t>タイトル</t>
    <phoneticPr fontId="2"/>
  </si>
  <si>
    <t>サイズ     　　  　</t>
    <phoneticPr fontId="2"/>
  </si>
  <si>
    <t>富田林北</t>
    <rPh sb="0" eb="3">
      <t>トンダバヤシ</t>
    </rPh>
    <rPh sb="3" eb="4">
      <t>キタ</t>
    </rPh>
    <phoneticPr fontId="2"/>
  </si>
  <si>
    <t>富田林</t>
    <rPh sb="0" eb="3">
      <t>トンダバヤシ</t>
    </rPh>
    <phoneticPr fontId="2"/>
  </si>
  <si>
    <t>富田林東</t>
    <rPh sb="0" eb="3">
      <t>トンダバヤシ</t>
    </rPh>
    <rPh sb="3" eb="4">
      <t>ヒガシ</t>
    </rPh>
    <phoneticPr fontId="2"/>
  </si>
  <si>
    <t>【北・中・南河内】   富田林市</t>
    <rPh sb="1" eb="2">
      <t>キタ</t>
    </rPh>
    <rPh sb="3" eb="4">
      <t>ナカ</t>
    </rPh>
    <rPh sb="5" eb="6">
      <t>ミナミ</t>
    </rPh>
    <rPh sb="6" eb="8">
      <t>カワチ</t>
    </rPh>
    <rPh sb="12" eb="15">
      <t>トンダバヤシ</t>
    </rPh>
    <rPh sb="15" eb="16">
      <t>シ</t>
    </rPh>
    <phoneticPr fontId="2"/>
  </si>
  <si>
    <t>千代田</t>
    <rPh sb="0" eb="3">
      <t>チヨダ</t>
    </rPh>
    <phoneticPr fontId="2"/>
  </si>
  <si>
    <t>長野中央</t>
    <rPh sb="0" eb="2">
      <t>ナガノ</t>
    </rPh>
    <rPh sb="2" eb="4">
      <t>チュウオウ</t>
    </rPh>
    <phoneticPr fontId="2"/>
  </si>
  <si>
    <t>河内長野</t>
    <rPh sb="0" eb="2">
      <t>カワチ</t>
    </rPh>
    <rPh sb="2" eb="4">
      <t>ナガノ</t>
    </rPh>
    <phoneticPr fontId="2"/>
  </si>
  <si>
    <t>三日市</t>
    <rPh sb="0" eb="3">
      <t>ミッカイチ</t>
    </rPh>
    <phoneticPr fontId="2"/>
  </si>
  <si>
    <t>河内長野</t>
    <rPh sb="0" eb="4">
      <t>カワチナガノ</t>
    </rPh>
    <phoneticPr fontId="2"/>
  </si>
  <si>
    <t xml:space="preserve"> </t>
    <phoneticPr fontId="2"/>
  </si>
  <si>
    <t>タイトル</t>
    <phoneticPr fontId="2"/>
  </si>
  <si>
    <t>サイズ     　　  　</t>
    <phoneticPr fontId="2"/>
  </si>
  <si>
    <t xml:space="preserve">サイズ </t>
    <phoneticPr fontId="2"/>
  </si>
  <si>
    <t>Ａ-茨木北</t>
    <rPh sb="2" eb="4">
      <t>イバラギ</t>
    </rPh>
    <rPh sb="4" eb="5">
      <t>キタ</t>
    </rPh>
    <phoneticPr fontId="2"/>
  </si>
  <si>
    <t>Ａ-茨木東</t>
    <rPh sb="2" eb="4">
      <t>イバラギ</t>
    </rPh>
    <rPh sb="4" eb="5">
      <t>ヒガシ</t>
    </rPh>
    <phoneticPr fontId="2"/>
  </si>
  <si>
    <t>Ｍ-茨木南</t>
    <rPh sb="2" eb="4">
      <t>イバラギ</t>
    </rPh>
    <rPh sb="4" eb="5">
      <t>ミナミ</t>
    </rPh>
    <phoneticPr fontId="2"/>
  </si>
  <si>
    <t>Ｍ-宿川原</t>
    <rPh sb="2" eb="3">
      <t>ヤド</t>
    </rPh>
    <rPh sb="3" eb="4">
      <t>カワ</t>
    </rPh>
    <rPh sb="4" eb="5">
      <t>ハラ</t>
    </rPh>
    <phoneticPr fontId="2"/>
  </si>
  <si>
    <t>Ｙ-新郡山</t>
    <rPh sb="2" eb="3">
      <t>シン</t>
    </rPh>
    <rPh sb="3" eb="4">
      <t>コオリ</t>
    </rPh>
    <rPh sb="4" eb="5">
      <t>ヤマ</t>
    </rPh>
    <phoneticPr fontId="2"/>
  </si>
  <si>
    <t>【北・中・南河内】   南河内郡</t>
    <rPh sb="1" eb="2">
      <t>キタ</t>
    </rPh>
    <rPh sb="3" eb="4">
      <t>ナカ</t>
    </rPh>
    <rPh sb="5" eb="6">
      <t>ミナミ</t>
    </rPh>
    <rPh sb="6" eb="8">
      <t>カワチ</t>
    </rPh>
    <rPh sb="12" eb="13">
      <t>ミナミ</t>
    </rPh>
    <rPh sb="13" eb="15">
      <t>カワチ</t>
    </rPh>
    <rPh sb="15" eb="16">
      <t>グン</t>
    </rPh>
    <phoneticPr fontId="2"/>
  </si>
  <si>
    <t>久野喜台</t>
    <rPh sb="0" eb="2">
      <t>ヒサノ</t>
    </rPh>
    <rPh sb="2" eb="3">
      <t>キ</t>
    </rPh>
    <rPh sb="3" eb="4">
      <t>ダイ</t>
    </rPh>
    <phoneticPr fontId="2"/>
  </si>
  <si>
    <t>寺池台</t>
    <rPh sb="0" eb="2">
      <t>テライケ</t>
    </rPh>
    <rPh sb="2" eb="3">
      <t>ダイ</t>
    </rPh>
    <phoneticPr fontId="2"/>
  </si>
  <si>
    <t>金剛</t>
    <rPh sb="0" eb="2">
      <t>コンゴウ</t>
    </rPh>
    <phoneticPr fontId="2"/>
  </si>
  <si>
    <t>金剛寺池台</t>
    <rPh sb="0" eb="3">
      <t>コンゴウジ</t>
    </rPh>
    <rPh sb="3" eb="4">
      <t>イケ</t>
    </rPh>
    <rPh sb="4" eb="5">
      <t>ダイ</t>
    </rPh>
    <phoneticPr fontId="2"/>
  </si>
  <si>
    <t>狭山ＮＴ</t>
    <rPh sb="0" eb="1">
      <t>セマ</t>
    </rPh>
    <rPh sb="1" eb="2">
      <t>ヤマ</t>
    </rPh>
    <phoneticPr fontId="2"/>
  </si>
  <si>
    <t>狭山台</t>
    <rPh sb="0" eb="1">
      <t>セマ</t>
    </rPh>
    <rPh sb="1" eb="2">
      <t>ヤマ</t>
    </rPh>
    <rPh sb="2" eb="3">
      <t>ダイ</t>
    </rPh>
    <phoneticPr fontId="2"/>
  </si>
  <si>
    <t>狭山遊園</t>
    <rPh sb="0" eb="1">
      <t>セマ</t>
    </rPh>
    <rPh sb="1" eb="2">
      <t>ヤマ</t>
    </rPh>
    <rPh sb="2" eb="4">
      <t>ユウエン</t>
    </rPh>
    <phoneticPr fontId="2"/>
  </si>
  <si>
    <t>【堺市】   堺区</t>
    <rPh sb="1" eb="2">
      <t>サカイ</t>
    </rPh>
    <rPh sb="2" eb="3">
      <t>シ</t>
    </rPh>
    <rPh sb="7" eb="8">
      <t>サカイ</t>
    </rPh>
    <rPh sb="8" eb="9">
      <t>ク</t>
    </rPh>
    <phoneticPr fontId="2"/>
  </si>
  <si>
    <t>堺中央</t>
    <rPh sb="0" eb="1">
      <t>サカイ</t>
    </rPh>
    <rPh sb="1" eb="3">
      <t>チュウオウ</t>
    </rPh>
    <phoneticPr fontId="2"/>
  </si>
  <si>
    <t>堺西</t>
    <rPh sb="0" eb="1">
      <t>サカイ</t>
    </rPh>
    <rPh sb="1" eb="2">
      <t>ニシ</t>
    </rPh>
    <phoneticPr fontId="2"/>
  </si>
  <si>
    <t>堺東</t>
    <rPh sb="0" eb="1">
      <t>サカイ</t>
    </rPh>
    <rPh sb="1" eb="2">
      <t>ヒガシ</t>
    </rPh>
    <phoneticPr fontId="2"/>
  </si>
  <si>
    <t>浅香山</t>
    <rPh sb="0" eb="1">
      <t>アサ</t>
    </rPh>
    <rPh sb="1" eb="2">
      <t>カオ</t>
    </rPh>
    <rPh sb="2" eb="3">
      <t>ヤマ</t>
    </rPh>
    <phoneticPr fontId="2"/>
  </si>
  <si>
    <t>岸和田市</t>
    <rPh sb="0" eb="4">
      <t>キシワダシ</t>
    </rPh>
    <phoneticPr fontId="2"/>
  </si>
  <si>
    <t>Ａ-貝塚</t>
    <rPh sb="2" eb="4">
      <t>カイヅカ</t>
    </rPh>
    <phoneticPr fontId="2"/>
  </si>
  <si>
    <t>泉佐野市</t>
    <rPh sb="0" eb="1">
      <t>イズミ</t>
    </rPh>
    <rPh sb="1" eb="3">
      <t>サノ</t>
    </rPh>
    <rPh sb="3" eb="4">
      <t>シ</t>
    </rPh>
    <phoneticPr fontId="2"/>
  </si>
  <si>
    <t>Ａ-泉佐野</t>
    <rPh sb="2" eb="3">
      <t>イズミ</t>
    </rPh>
    <rPh sb="3" eb="5">
      <t>サノ</t>
    </rPh>
    <phoneticPr fontId="2"/>
  </si>
  <si>
    <t>Ａ-北池田</t>
    <rPh sb="2" eb="3">
      <t>キタ</t>
    </rPh>
    <rPh sb="3" eb="5">
      <t>イケダ</t>
    </rPh>
    <phoneticPr fontId="2"/>
  </si>
  <si>
    <t>Ａ-府中</t>
    <rPh sb="2" eb="4">
      <t>フチュウ</t>
    </rPh>
    <phoneticPr fontId="2"/>
  </si>
  <si>
    <t>Ａ-和泉光明池</t>
    <rPh sb="2" eb="3">
      <t>カズ</t>
    </rPh>
    <rPh sb="3" eb="4">
      <t>イズミ</t>
    </rPh>
    <rPh sb="4" eb="5">
      <t>ヒカリ</t>
    </rPh>
    <rPh sb="5" eb="6">
      <t>ア</t>
    </rPh>
    <rPh sb="6" eb="7">
      <t>イケ</t>
    </rPh>
    <phoneticPr fontId="2"/>
  </si>
  <si>
    <t>Ａ-和泉中央</t>
    <rPh sb="2" eb="3">
      <t>ワ</t>
    </rPh>
    <rPh sb="3" eb="4">
      <t>イズミ</t>
    </rPh>
    <rPh sb="4" eb="6">
      <t>チュウオウ</t>
    </rPh>
    <phoneticPr fontId="2"/>
  </si>
  <si>
    <t xml:space="preserve">サイズ </t>
    <phoneticPr fontId="2"/>
  </si>
  <si>
    <t>大道豊里</t>
    <rPh sb="0" eb="2">
      <t>オオミチ</t>
    </rPh>
    <rPh sb="2" eb="3">
      <t>トヨ</t>
    </rPh>
    <rPh sb="3" eb="4">
      <t>サト</t>
    </rPh>
    <phoneticPr fontId="2"/>
  </si>
  <si>
    <t>Ｙ-寝屋川東</t>
    <rPh sb="2" eb="5">
      <t>ネヤガワ</t>
    </rPh>
    <rPh sb="5" eb="6">
      <t>ヒガシ</t>
    </rPh>
    <phoneticPr fontId="2"/>
  </si>
  <si>
    <t>Ｙ-住ノ道南</t>
    <rPh sb="2" eb="3">
      <t>スミ</t>
    </rPh>
    <rPh sb="4" eb="5">
      <t>ミチ</t>
    </rPh>
    <rPh sb="5" eb="6">
      <t>ミナミ</t>
    </rPh>
    <phoneticPr fontId="2"/>
  </si>
  <si>
    <t>Ｙ-我孫子東</t>
    <rPh sb="5" eb="6">
      <t>ヒガシ</t>
    </rPh>
    <phoneticPr fontId="2"/>
  </si>
  <si>
    <t>豊能郡</t>
    <rPh sb="0" eb="1">
      <t>ユタ</t>
    </rPh>
    <rPh sb="1" eb="2">
      <t>ノウ</t>
    </rPh>
    <rPh sb="2" eb="3">
      <t>グン</t>
    </rPh>
    <phoneticPr fontId="2"/>
  </si>
  <si>
    <t>堺南</t>
    <rPh sb="0" eb="1">
      <t>サカイ</t>
    </rPh>
    <rPh sb="1" eb="2">
      <t>ミナミ</t>
    </rPh>
    <phoneticPr fontId="2"/>
  </si>
  <si>
    <t>宿院</t>
    <rPh sb="0" eb="1">
      <t>ヤド</t>
    </rPh>
    <rPh sb="1" eb="2">
      <t>イン</t>
    </rPh>
    <phoneticPr fontId="2"/>
  </si>
  <si>
    <t>堺北</t>
    <rPh sb="0" eb="1">
      <t>サカイ</t>
    </rPh>
    <rPh sb="1" eb="2">
      <t>キタ</t>
    </rPh>
    <phoneticPr fontId="2"/>
  </si>
  <si>
    <t>三国ヶ丘</t>
    <rPh sb="0" eb="4">
      <t>ミクニガオカ</t>
    </rPh>
    <phoneticPr fontId="2"/>
  </si>
  <si>
    <t>【堺市】   中区</t>
    <rPh sb="1" eb="2">
      <t>サカイ</t>
    </rPh>
    <rPh sb="2" eb="3">
      <t>シ</t>
    </rPh>
    <rPh sb="7" eb="8">
      <t>ナカ</t>
    </rPh>
    <rPh sb="8" eb="9">
      <t>ク</t>
    </rPh>
    <phoneticPr fontId="2"/>
  </si>
  <si>
    <t>福田</t>
    <rPh sb="0" eb="2">
      <t>フクダ</t>
    </rPh>
    <phoneticPr fontId="2"/>
  </si>
  <si>
    <t>深井</t>
    <rPh sb="0" eb="2">
      <t>フカイ</t>
    </rPh>
    <phoneticPr fontId="2"/>
  </si>
  <si>
    <t>八田荘</t>
    <rPh sb="0" eb="2">
      <t>ハッタ</t>
    </rPh>
    <rPh sb="2" eb="3">
      <t>ソウ</t>
    </rPh>
    <phoneticPr fontId="2"/>
  </si>
  <si>
    <t>泉北泉ヶ丘</t>
    <rPh sb="0" eb="2">
      <t>センボク</t>
    </rPh>
    <rPh sb="2" eb="5">
      <t>イズミガオカ</t>
    </rPh>
    <phoneticPr fontId="2"/>
  </si>
  <si>
    <t xml:space="preserve"> </t>
    <phoneticPr fontId="2"/>
  </si>
  <si>
    <t>Ｙ-恵我之荘</t>
    <rPh sb="2" eb="3">
      <t>メグ</t>
    </rPh>
    <rPh sb="3" eb="4">
      <t>ガ</t>
    </rPh>
    <rPh sb="4" eb="5">
      <t>ユキ</t>
    </rPh>
    <rPh sb="5" eb="6">
      <t>ソウ</t>
    </rPh>
    <phoneticPr fontId="2"/>
  </si>
  <si>
    <t>タイトル</t>
    <phoneticPr fontId="2"/>
  </si>
  <si>
    <t>サイズ     　　  　</t>
    <phoneticPr fontId="2"/>
  </si>
  <si>
    <t>【堺市】   東区</t>
    <rPh sb="1" eb="2">
      <t>サカイ</t>
    </rPh>
    <rPh sb="2" eb="3">
      <t>シ</t>
    </rPh>
    <rPh sb="7" eb="8">
      <t>ヒガシ</t>
    </rPh>
    <rPh sb="8" eb="9">
      <t>ク</t>
    </rPh>
    <phoneticPr fontId="2"/>
  </si>
  <si>
    <t>【堺市】   西区</t>
    <rPh sb="1" eb="2">
      <t>サカイ</t>
    </rPh>
    <rPh sb="2" eb="3">
      <t>シ</t>
    </rPh>
    <rPh sb="7" eb="8">
      <t>ニシ</t>
    </rPh>
    <rPh sb="8" eb="9">
      <t>ク</t>
    </rPh>
    <phoneticPr fontId="2"/>
  </si>
  <si>
    <t>初芝</t>
    <rPh sb="0" eb="1">
      <t>ハツ</t>
    </rPh>
    <rPh sb="1" eb="2">
      <t>シバ</t>
    </rPh>
    <phoneticPr fontId="2"/>
  </si>
  <si>
    <t>北野田</t>
    <rPh sb="0" eb="1">
      <t>キタ</t>
    </rPh>
    <rPh sb="1" eb="3">
      <t>ノダ</t>
    </rPh>
    <phoneticPr fontId="2"/>
  </si>
  <si>
    <t>北野田</t>
    <rPh sb="0" eb="2">
      <t>キタノ</t>
    </rPh>
    <rPh sb="2" eb="3">
      <t>タ</t>
    </rPh>
    <phoneticPr fontId="2"/>
  </si>
  <si>
    <t>上野芝</t>
    <rPh sb="0" eb="2">
      <t>ウエノ</t>
    </rPh>
    <rPh sb="2" eb="3">
      <t>シバ</t>
    </rPh>
    <phoneticPr fontId="2"/>
  </si>
  <si>
    <t>津久野</t>
    <rPh sb="0" eb="3">
      <t>ツクノ</t>
    </rPh>
    <phoneticPr fontId="2"/>
  </si>
  <si>
    <t>諏訪ノ森</t>
    <rPh sb="0" eb="2">
      <t>スワ</t>
    </rPh>
    <rPh sb="3" eb="4">
      <t>モリ</t>
    </rPh>
    <phoneticPr fontId="2"/>
  </si>
  <si>
    <t>鳳</t>
    <rPh sb="0" eb="1">
      <t>オオトリ</t>
    </rPh>
    <phoneticPr fontId="2"/>
  </si>
  <si>
    <t>浜寺</t>
    <rPh sb="0" eb="1">
      <t>ハマ</t>
    </rPh>
    <rPh sb="1" eb="2">
      <t>テラ</t>
    </rPh>
    <phoneticPr fontId="2"/>
  </si>
  <si>
    <t>上野芝駅前</t>
    <rPh sb="0" eb="2">
      <t>ウエノ</t>
    </rPh>
    <rPh sb="2" eb="3">
      <t>シバ</t>
    </rPh>
    <rPh sb="3" eb="5">
      <t>エキマエ</t>
    </rPh>
    <phoneticPr fontId="2"/>
  </si>
  <si>
    <t>【大阪市内】   東住吉区</t>
    <rPh sb="1" eb="3">
      <t>オオサカ</t>
    </rPh>
    <rPh sb="3" eb="4">
      <t>シ</t>
    </rPh>
    <rPh sb="4" eb="5">
      <t>ナイ</t>
    </rPh>
    <rPh sb="9" eb="10">
      <t>ヒガシ</t>
    </rPh>
    <rPh sb="10" eb="12">
      <t>スミヨシ</t>
    </rPh>
    <rPh sb="12" eb="13">
      <t>ク</t>
    </rPh>
    <phoneticPr fontId="2"/>
  </si>
  <si>
    <t>今川</t>
    <rPh sb="0" eb="2">
      <t>イマガワ</t>
    </rPh>
    <phoneticPr fontId="2"/>
  </si>
  <si>
    <t>南田辺</t>
    <rPh sb="0" eb="1">
      <t>ミナミ</t>
    </rPh>
    <rPh sb="1" eb="3">
      <t>タナベ</t>
    </rPh>
    <phoneticPr fontId="2"/>
  </si>
  <si>
    <t>針中野</t>
    <rPh sb="0" eb="1">
      <t>ハリ</t>
    </rPh>
    <rPh sb="1" eb="3">
      <t>ナカノ</t>
    </rPh>
    <phoneticPr fontId="2"/>
  </si>
  <si>
    <t>育和</t>
    <rPh sb="0" eb="1">
      <t>イク</t>
    </rPh>
    <rPh sb="1" eb="2">
      <t>ワ</t>
    </rPh>
    <phoneticPr fontId="2"/>
  </si>
  <si>
    <t>駒川</t>
    <rPh sb="0" eb="2">
      <t>コマガワ</t>
    </rPh>
    <phoneticPr fontId="2"/>
  </si>
  <si>
    <t>矢田</t>
    <rPh sb="0" eb="2">
      <t>ヤタ</t>
    </rPh>
    <phoneticPr fontId="2"/>
  </si>
  <si>
    <t>東住吉今川</t>
    <rPh sb="0" eb="1">
      <t>ヒガシ</t>
    </rPh>
    <rPh sb="1" eb="3">
      <t>スミヨシ</t>
    </rPh>
    <rPh sb="3" eb="5">
      <t>イマガワ</t>
    </rPh>
    <phoneticPr fontId="2"/>
  </si>
  <si>
    <t>加賀屋</t>
    <rPh sb="0" eb="3">
      <t>カガヤ</t>
    </rPh>
    <phoneticPr fontId="2"/>
  </si>
  <si>
    <t>住之江</t>
    <rPh sb="0" eb="3">
      <t>スミノエ</t>
    </rPh>
    <phoneticPr fontId="2"/>
  </si>
  <si>
    <t>横山</t>
    <rPh sb="0" eb="2">
      <t>ヨコヤマ</t>
    </rPh>
    <phoneticPr fontId="2"/>
  </si>
  <si>
    <t>枚方市</t>
    <rPh sb="0" eb="2">
      <t>ヒラカタ</t>
    </rPh>
    <rPh sb="2" eb="3">
      <t>シ</t>
    </rPh>
    <phoneticPr fontId="2"/>
  </si>
  <si>
    <t>Ａ-枚方北</t>
    <rPh sb="2" eb="4">
      <t>ヒラカタ</t>
    </rPh>
    <rPh sb="4" eb="5">
      <t>キタ</t>
    </rPh>
    <phoneticPr fontId="2"/>
  </si>
  <si>
    <t>Ｍ-枚方東</t>
    <rPh sb="2" eb="4">
      <t>ヒラカタ</t>
    </rPh>
    <rPh sb="4" eb="5">
      <t>ヒガシ</t>
    </rPh>
    <phoneticPr fontId="2"/>
  </si>
  <si>
    <t>Ｍ-東香里</t>
    <rPh sb="2" eb="5">
      <t>ヒガシコウリ</t>
    </rPh>
    <phoneticPr fontId="2"/>
  </si>
  <si>
    <t>Ｍ-御殿山</t>
    <rPh sb="2" eb="3">
      <t>ゴ</t>
    </rPh>
    <rPh sb="3" eb="4">
      <t>トノ</t>
    </rPh>
    <rPh sb="4" eb="5">
      <t>ヤマ</t>
    </rPh>
    <phoneticPr fontId="2"/>
  </si>
  <si>
    <t>Ｍ-長尾</t>
    <rPh sb="2" eb="4">
      <t>ナガオ</t>
    </rPh>
    <phoneticPr fontId="2"/>
  </si>
  <si>
    <t>Ｙ-招堤</t>
    <rPh sb="2" eb="3">
      <t>マネ</t>
    </rPh>
    <rPh sb="3" eb="4">
      <t>ツツミ</t>
    </rPh>
    <phoneticPr fontId="2"/>
  </si>
  <si>
    <t>Ｙ-牧野</t>
    <rPh sb="2" eb="4">
      <t>マキノ</t>
    </rPh>
    <phoneticPr fontId="2"/>
  </si>
  <si>
    <t>Ｍ-三井</t>
    <rPh sb="2" eb="4">
      <t>ミツイ</t>
    </rPh>
    <phoneticPr fontId="2"/>
  </si>
  <si>
    <t>Ｙ-寝屋川西</t>
    <rPh sb="2" eb="5">
      <t>ネヤガワ</t>
    </rPh>
    <rPh sb="5" eb="6">
      <t>ニシ</t>
    </rPh>
    <phoneticPr fontId="2"/>
  </si>
  <si>
    <t>Ｙ-寝屋川中央</t>
    <rPh sb="2" eb="5">
      <t>ネヤガワ</t>
    </rPh>
    <rPh sb="5" eb="7">
      <t>チュウオウ</t>
    </rPh>
    <phoneticPr fontId="2"/>
  </si>
  <si>
    <t>熊取東佐野</t>
    <rPh sb="0" eb="1">
      <t>クマ</t>
    </rPh>
    <rPh sb="1" eb="2">
      <t>トリ</t>
    </rPh>
    <rPh sb="2" eb="3">
      <t>ヒガシ</t>
    </rPh>
    <rPh sb="3" eb="5">
      <t>サノ</t>
    </rPh>
    <phoneticPr fontId="2"/>
  </si>
  <si>
    <t>Ｙ-寝屋川南</t>
    <rPh sb="2" eb="5">
      <t>ネヤガワ</t>
    </rPh>
    <rPh sb="5" eb="6">
      <t>ミナミ</t>
    </rPh>
    <phoneticPr fontId="2"/>
  </si>
  <si>
    <t>Ｙ-香里園</t>
    <rPh sb="2" eb="3">
      <t>カオ</t>
    </rPh>
    <rPh sb="3" eb="4">
      <t>サト</t>
    </rPh>
    <rPh sb="4" eb="5">
      <t>エン</t>
    </rPh>
    <phoneticPr fontId="2"/>
  </si>
  <si>
    <t>Ｙ-木屋</t>
    <rPh sb="2" eb="3">
      <t>キ</t>
    </rPh>
    <rPh sb="3" eb="4">
      <t>ヤ</t>
    </rPh>
    <phoneticPr fontId="2"/>
  </si>
  <si>
    <t>Ａ-ときわ台</t>
    <rPh sb="5" eb="6">
      <t>ダイ</t>
    </rPh>
    <phoneticPr fontId="2"/>
  </si>
  <si>
    <t>Ｍ-門真</t>
    <rPh sb="2" eb="4">
      <t>カドマ</t>
    </rPh>
    <phoneticPr fontId="2"/>
  </si>
  <si>
    <t>門真市</t>
    <rPh sb="0" eb="2">
      <t>カドマ</t>
    </rPh>
    <rPh sb="2" eb="3">
      <t>シ</t>
    </rPh>
    <phoneticPr fontId="2"/>
  </si>
  <si>
    <t>Ａ-守口</t>
    <rPh sb="2" eb="4">
      <t>モリグチ</t>
    </rPh>
    <phoneticPr fontId="2"/>
  </si>
  <si>
    <t>Ａ-守口南</t>
    <rPh sb="2" eb="4">
      <t>モリグチ</t>
    </rPh>
    <rPh sb="4" eb="5">
      <t>ミナミ</t>
    </rPh>
    <phoneticPr fontId="2"/>
  </si>
  <si>
    <t>Ａ-守口東</t>
    <rPh sb="2" eb="4">
      <t>モリグチ</t>
    </rPh>
    <rPh sb="4" eb="5">
      <t>ヒガシ</t>
    </rPh>
    <phoneticPr fontId="2"/>
  </si>
  <si>
    <t>Ｍ-守口東</t>
    <rPh sb="2" eb="4">
      <t>モリグチ</t>
    </rPh>
    <rPh sb="4" eb="5">
      <t>ヒガシ</t>
    </rPh>
    <phoneticPr fontId="2"/>
  </si>
  <si>
    <t>この資料表はABCレポート（半年間の平均総部数）に準拠し、販売店毎に50部単位</t>
    <rPh sb="2" eb="4">
      <t>シリョウ</t>
    </rPh>
    <phoneticPr fontId="3"/>
  </si>
  <si>
    <t>Ｍ-守口西</t>
    <rPh sb="2" eb="4">
      <t>モリグチ</t>
    </rPh>
    <rPh sb="4" eb="5">
      <t>ニシ</t>
    </rPh>
    <phoneticPr fontId="2"/>
  </si>
  <si>
    <t>Ｍ-守口北</t>
    <rPh sb="2" eb="4">
      <t>モリグチ</t>
    </rPh>
    <rPh sb="4" eb="5">
      <t>キタ</t>
    </rPh>
    <phoneticPr fontId="2"/>
  </si>
  <si>
    <t>Ａ-星田</t>
    <rPh sb="2" eb="4">
      <t>ホシダ</t>
    </rPh>
    <phoneticPr fontId="2"/>
  </si>
  <si>
    <t>Ａ-交野</t>
    <rPh sb="2" eb="4">
      <t>カタノ</t>
    </rPh>
    <phoneticPr fontId="2"/>
  </si>
  <si>
    <t>Ｍ-交野</t>
    <rPh sb="2" eb="4">
      <t>カタノ</t>
    </rPh>
    <phoneticPr fontId="2"/>
  </si>
  <si>
    <t>Ｍ-忍ヶ丘</t>
    <rPh sb="2" eb="3">
      <t>シノ</t>
    </rPh>
    <rPh sb="4" eb="5">
      <t>オカ</t>
    </rPh>
    <phoneticPr fontId="2"/>
  </si>
  <si>
    <t>茨木東</t>
    <rPh sb="0" eb="2">
      <t>イバラキ</t>
    </rPh>
    <rPh sb="2" eb="3">
      <t>ヒガシ</t>
    </rPh>
    <phoneticPr fontId="2"/>
  </si>
  <si>
    <t>Ａ-若江</t>
    <rPh sb="2" eb="4">
      <t>ワカエ</t>
    </rPh>
    <phoneticPr fontId="2"/>
  </si>
  <si>
    <t>Ｍ-鴻ノ池</t>
    <rPh sb="2" eb="3">
      <t>オオトリ</t>
    </rPh>
    <rPh sb="4" eb="5">
      <t>イケ</t>
    </rPh>
    <phoneticPr fontId="2"/>
  </si>
  <si>
    <t>Ｙ-茨木中央</t>
    <rPh sb="2" eb="4">
      <t>イバラギ</t>
    </rPh>
    <rPh sb="4" eb="6">
      <t>チュウオウ</t>
    </rPh>
    <phoneticPr fontId="2"/>
  </si>
  <si>
    <t>大阪市</t>
    <rPh sb="0" eb="3">
      <t>オオサカシ</t>
    </rPh>
    <phoneticPr fontId="2"/>
  </si>
  <si>
    <t>大阪府北部</t>
    <rPh sb="0" eb="2">
      <t>オオサカ</t>
    </rPh>
    <rPh sb="2" eb="3">
      <t>フ</t>
    </rPh>
    <rPh sb="3" eb="5">
      <t>ホクブ</t>
    </rPh>
    <phoneticPr fontId="2"/>
  </si>
  <si>
    <t>南河内郡</t>
    <rPh sb="0" eb="4">
      <t>ミナミカワチグン</t>
    </rPh>
    <phoneticPr fontId="2"/>
  </si>
  <si>
    <t>大阪狭山市</t>
    <rPh sb="0" eb="5">
      <t>オオサカサヤマシ</t>
    </rPh>
    <phoneticPr fontId="2"/>
  </si>
  <si>
    <t>堺市</t>
    <rPh sb="0" eb="2">
      <t>サカイシ</t>
    </rPh>
    <phoneticPr fontId="2"/>
  </si>
  <si>
    <t>北･中･南河内</t>
    <rPh sb="0" eb="1">
      <t>キタ</t>
    </rPh>
    <rPh sb="2" eb="3">
      <t>ナカ</t>
    </rPh>
    <rPh sb="4" eb="5">
      <t>ミナミ</t>
    </rPh>
    <rPh sb="5" eb="7">
      <t>カワチ</t>
    </rPh>
    <phoneticPr fontId="2"/>
  </si>
  <si>
    <t>泉大津市</t>
    <rPh sb="0" eb="4">
      <t>イズミオオツシ</t>
    </rPh>
    <phoneticPr fontId="2"/>
  </si>
  <si>
    <t>泉北郡</t>
    <rPh sb="0" eb="2">
      <t>センボク</t>
    </rPh>
    <rPh sb="2" eb="3">
      <t>グン</t>
    </rPh>
    <phoneticPr fontId="2"/>
  </si>
  <si>
    <t>和泉市</t>
    <rPh sb="0" eb="3">
      <t>イズミシ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</si>
  <si>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</si>
  <si>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</si>
  <si>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泉南郡</t>
    <rPh sb="0" eb="3">
      <t>センナングン</t>
    </rPh>
    <phoneticPr fontId="2"/>
  </si>
  <si>
    <t>タイトル</t>
    <phoneticPr fontId="2"/>
  </si>
  <si>
    <t>Ｙ-鴻池</t>
    <rPh sb="2" eb="4">
      <t>コウノイケ</t>
    </rPh>
    <phoneticPr fontId="2"/>
  </si>
  <si>
    <t>Ｍ-山本高安</t>
    <rPh sb="2" eb="4">
      <t>ヤマモト</t>
    </rPh>
    <rPh sb="4" eb="6">
      <t>タカヤス</t>
    </rPh>
    <phoneticPr fontId="2"/>
  </si>
  <si>
    <t>Ｍ-恩智</t>
    <rPh sb="2" eb="3">
      <t>オン</t>
    </rPh>
    <rPh sb="3" eb="4">
      <t>トモ</t>
    </rPh>
    <phoneticPr fontId="2"/>
  </si>
  <si>
    <t>Ｍ-八尾東</t>
    <rPh sb="2" eb="4">
      <t>ヤオ</t>
    </rPh>
    <rPh sb="4" eb="5">
      <t>ヒガシ</t>
    </rPh>
    <phoneticPr fontId="2"/>
  </si>
  <si>
    <t>Ｍ-太子堂</t>
    <rPh sb="2" eb="4">
      <t>タイシ</t>
    </rPh>
    <rPh sb="4" eb="5">
      <t>ドウ</t>
    </rPh>
    <phoneticPr fontId="2"/>
  </si>
  <si>
    <t>Ｙ-志紀</t>
    <rPh sb="2" eb="3">
      <t>ココロザシ</t>
    </rPh>
    <rPh sb="3" eb="4">
      <t>キ</t>
    </rPh>
    <phoneticPr fontId="2"/>
  </si>
  <si>
    <t>【大阪市内】   天王寺区</t>
    <rPh sb="1" eb="3">
      <t>オオサカ</t>
    </rPh>
    <rPh sb="3" eb="4">
      <t>シ</t>
    </rPh>
    <rPh sb="4" eb="5">
      <t>ナイ</t>
    </rPh>
    <rPh sb="9" eb="13">
      <t>テンノウジク</t>
    </rPh>
    <phoneticPr fontId="2"/>
  </si>
  <si>
    <t>【大阪市内】   城東区</t>
    <rPh sb="1" eb="3">
      <t>オオサカ</t>
    </rPh>
    <rPh sb="3" eb="4">
      <t>シ</t>
    </rPh>
    <rPh sb="4" eb="5">
      <t>ナイ</t>
    </rPh>
    <rPh sb="9" eb="12">
      <t>ジョウトウク</t>
    </rPh>
    <phoneticPr fontId="2"/>
  </si>
  <si>
    <t>南森町</t>
    <rPh sb="0" eb="1">
      <t>ミナミ</t>
    </rPh>
    <rPh sb="1" eb="3">
      <t>モリマチ</t>
    </rPh>
    <phoneticPr fontId="2"/>
  </si>
  <si>
    <t>Ｍ-徳庵今津</t>
    <rPh sb="2" eb="4">
      <t>トクアン</t>
    </rPh>
    <rPh sb="4" eb="5">
      <t>イマ</t>
    </rPh>
    <rPh sb="5" eb="6">
      <t>ツ</t>
    </rPh>
    <phoneticPr fontId="2"/>
  </si>
  <si>
    <t>【大阪市内】   住吉区</t>
    <rPh sb="1" eb="3">
      <t>オオサカ</t>
    </rPh>
    <rPh sb="3" eb="4">
      <t>シ</t>
    </rPh>
    <rPh sb="4" eb="5">
      <t>ナイ</t>
    </rPh>
    <rPh sb="9" eb="11">
      <t>スミヨシ</t>
    </rPh>
    <rPh sb="11" eb="12">
      <t>ク</t>
    </rPh>
    <phoneticPr fontId="2"/>
  </si>
  <si>
    <t>【大阪市内】   住之江区</t>
    <rPh sb="1" eb="3">
      <t>オオサカ</t>
    </rPh>
    <rPh sb="3" eb="4">
      <t>シ</t>
    </rPh>
    <rPh sb="4" eb="5">
      <t>ナイ</t>
    </rPh>
    <rPh sb="9" eb="12">
      <t>スミノエ</t>
    </rPh>
    <rPh sb="12" eb="13">
      <t>ク</t>
    </rPh>
    <phoneticPr fontId="2"/>
  </si>
  <si>
    <t>【北　部】  豊中市</t>
    <rPh sb="1" eb="2">
      <t>キタ</t>
    </rPh>
    <rPh sb="3" eb="4">
      <t>ブ</t>
    </rPh>
    <rPh sb="7" eb="9">
      <t>トヨナカ</t>
    </rPh>
    <rPh sb="9" eb="10">
      <t>シ</t>
    </rPh>
    <phoneticPr fontId="2"/>
  </si>
  <si>
    <t>【北　部】   豊能郡</t>
    <rPh sb="1" eb="2">
      <t>キタ</t>
    </rPh>
    <rPh sb="3" eb="4">
      <t>ブ</t>
    </rPh>
    <rPh sb="8" eb="9">
      <t>ユタカ</t>
    </rPh>
    <rPh sb="9" eb="10">
      <t>ノウ</t>
    </rPh>
    <rPh sb="10" eb="11">
      <t>グン</t>
    </rPh>
    <phoneticPr fontId="2"/>
  </si>
  <si>
    <t>【北　部】   吹田市</t>
    <rPh sb="1" eb="2">
      <t>キタ</t>
    </rPh>
    <rPh sb="3" eb="4">
      <t>ブ</t>
    </rPh>
    <rPh sb="8" eb="10">
      <t>スイタ</t>
    </rPh>
    <rPh sb="10" eb="11">
      <t>シ</t>
    </rPh>
    <phoneticPr fontId="2"/>
  </si>
  <si>
    <t>【北　部】   高槻市</t>
    <rPh sb="1" eb="2">
      <t>キタ</t>
    </rPh>
    <rPh sb="3" eb="4">
      <t>ブ</t>
    </rPh>
    <rPh sb="8" eb="10">
      <t>タカツキ</t>
    </rPh>
    <rPh sb="10" eb="11">
      <t>シ</t>
    </rPh>
    <phoneticPr fontId="2"/>
  </si>
  <si>
    <t>【北・中・南河内】   枚方市</t>
    <rPh sb="1" eb="2">
      <t>キタ</t>
    </rPh>
    <rPh sb="3" eb="4">
      <t>ナカ</t>
    </rPh>
    <rPh sb="5" eb="6">
      <t>ミナミ</t>
    </rPh>
    <rPh sb="6" eb="8">
      <t>カワチ</t>
    </rPh>
    <rPh sb="12" eb="15">
      <t>ヒラカタシ</t>
    </rPh>
    <phoneticPr fontId="2"/>
  </si>
  <si>
    <t>西能勢</t>
    <rPh sb="0" eb="1">
      <t>ニシ</t>
    </rPh>
    <rPh sb="1" eb="2">
      <t>ノウ</t>
    </rPh>
    <rPh sb="2" eb="3">
      <t>イキオ</t>
    </rPh>
    <phoneticPr fontId="2"/>
  </si>
  <si>
    <t>中能勢</t>
    <rPh sb="0" eb="1">
      <t>ナカ</t>
    </rPh>
    <rPh sb="1" eb="2">
      <t>ノウ</t>
    </rPh>
    <rPh sb="2" eb="3">
      <t>イキオ</t>
    </rPh>
    <phoneticPr fontId="2"/>
  </si>
  <si>
    <t>大阪市中央区</t>
    <rPh sb="0" eb="2">
      <t>オオサカ</t>
    </rPh>
    <rPh sb="2" eb="3">
      <t>シ</t>
    </rPh>
    <rPh sb="3" eb="6">
      <t>チュウオウク</t>
    </rPh>
    <phoneticPr fontId="2"/>
  </si>
  <si>
    <t>Ｍ-松屋町</t>
    <rPh sb="2" eb="3">
      <t>マツ</t>
    </rPh>
    <rPh sb="3" eb="4">
      <t>ヤ</t>
    </rPh>
    <rPh sb="4" eb="5">
      <t>マチ</t>
    </rPh>
    <phoneticPr fontId="2"/>
  </si>
  <si>
    <t>Ｍ-谷町</t>
    <rPh sb="2" eb="3">
      <t>タニ</t>
    </rPh>
    <rPh sb="3" eb="4">
      <t>マチ</t>
    </rPh>
    <phoneticPr fontId="2"/>
  </si>
  <si>
    <t>大阪市西区</t>
    <rPh sb="0" eb="2">
      <t>オオサカ</t>
    </rPh>
    <rPh sb="2" eb="3">
      <t>シ</t>
    </rPh>
    <rPh sb="3" eb="4">
      <t>ニシ</t>
    </rPh>
    <rPh sb="4" eb="5">
      <t>ク</t>
    </rPh>
    <phoneticPr fontId="2"/>
  </si>
  <si>
    <t>Ａ-九条</t>
    <rPh sb="2" eb="4">
      <t>クジョウ</t>
    </rPh>
    <phoneticPr fontId="2"/>
  </si>
  <si>
    <t>大阪市西区</t>
    <rPh sb="0" eb="3">
      <t>オオサカシ</t>
    </rPh>
    <rPh sb="3" eb="4">
      <t>ニシ</t>
    </rPh>
    <rPh sb="4" eb="5">
      <t>ク</t>
    </rPh>
    <phoneticPr fontId="2"/>
  </si>
  <si>
    <t>大阪市西淀川区</t>
    <rPh sb="0" eb="2">
      <t>オオサカ</t>
    </rPh>
    <rPh sb="2" eb="3">
      <t>シ</t>
    </rPh>
    <rPh sb="3" eb="4">
      <t>ニシ</t>
    </rPh>
    <rPh sb="4" eb="6">
      <t>ヨドガワ</t>
    </rPh>
    <rPh sb="6" eb="7">
      <t>ク</t>
    </rPh>
    <phoneticPr fontId="2"/>
  </si>
  <si>
    <t>Ｙ-姫島</t>
    <rPh sb="2" eb="4">
      <t>ヒメジマ</t>
    </rPh>
    <phoneticPr fontId="2"/>
  </si>
  <si>
    <t>Ｙ-野里</t>
    <rPh sb="2" eb="4">
      <t>ノザト</t>
    </rPh>
    <phoneticPr fontId="2"/>
  </si>
  <si>
    <t>Ｙ-西淀南</t>
    <rPh sb="3" eb="4">
      <t>ヨド</t>
    </rPh>
    <rPh sb="4" eb="5">
      <t>ミナミ</t>
    </rPh>
    <phoneticPr fontId="2"/>
  </si>
  <si>
    <t>大阪市淀川区</t>
    <rPh sb="0" eb="2">
      <t>オオサカ</t>
    </rPh>
    <rPh sb="2" eb="3">
      <t>シ</t>
    </rPh>
    <rPh sb="3" eb="5">
      <t>ヨドガワ</t>
    </rPh>
    <rPh sb="5" eb="6">
      <t>ク</t>
    </rPh>
    <phoneticPr fontId="2"/>
  </si>
  <si>
    <t>豊能郡</t>
    <rPh sb="0" eb="2">
      <t>トヨノ</t>
    </rPh>
    <rPh sb="2" eb="3">
      <t>グン</t>
    </rPh>
    <phoneticPr fontId="2"/>
  </si>
  <si>
    <t>Ａ-淀川</t>
    <rPh sb="2" eb="4">
      <t>ヨドガワ</t>
    </rPh>
    <phoneticPr fontId="2"/>
  </si>
  <si>
    <t>南港ＰＴ</t>
    <rPh sb="0" eb="2">
      <t>ナンコウ</t>
    </rPh>
    <phoneticPr fontId="2"/>
  </si>
  <si>
    <t>我孫子道</t>
    <rPh sb="0" eb="1">
      <t>ワレ</t>
    </rPh>
    <rPh sb="1" eb="2">
      <t>マゴ</t>
    </rPh>
    <rPh sb="2" eb="3">
      <t>コ</t>
    </rPh>
    <rPh sb="3" eb="4">
      <t>ミチ</t>
    </rPh>
    <phoneticPr fontId="2"/>
  </si>
  <si>
    <t>【大阪市内】   平野区</t>
    <rPh sb="1" eb="3">
      <t>オオサカ</t>
    </rPh>
    <rPh sb="3" eb="5">
      <t>シナイ</t>
    </rPh>
    <rPh sb="9" eb="12">
      <t>ヒラノク</t>
    </rPh>
    <phoneticPr fontId="2"/>
  </si>
  <si>
    <t>長吉</t>
    <rPh sb="0" eb="2">
      <t>ナガヨシ</t>
    </rPh>
    <phoneticPr fontId="2"/>
  </si>
  <si>
    <t>瓜破</t>
    <rPh sb="0" eb="2">
      <t>ウリワリ</t>
    </rPh>
    <phoneticPr fontId="2"/>
  </si>
  <si>
    <t>北平野</t>
    <rPh sb="0" eb="1">
      <t>キタ</t>
    </rPh>
    <rPh sb="1" eb="3">
      <t>ヒラノ</t>
    </rPh>
    <phoneticPr fontId="2"/>
  </si>
  <si>
    <t>平野</t>
    <rPh sb="0" eb="2">
      <t>ヒラノ</t>
    </rPh>
    <phoneticPr fontId="2"/>
  </si>
  <si>
    <t>喜連</t>
    <rPh sb="0" eb="2">
      <t>キレ</t>
    </rPh>
    <phoneticPr fontId="2"/>
  </si>
  <si>
    <t>加美</t>
    <rPh sb="0" eb="2">
      <t>カミ</t>
    </rPh>
    <phoneticPr fontId="2"/>
  </si>
  <si>
    <t>西瓜破</t>
    <rPh sb="0" eb="1">
      <t>ニシ</t>
    </rPh>
    <rPh sb="1" eb="3">
      <t>ウリワリ</t>
    </rPh>
    <phoneticPr fontId="2"/>
  </si>
  <si>
    <t>西平野</t>
    <rPh sb="0" eb="1">
      <t>ニシ</t>
    </rPh>
    <rPh sb="1" eb="3">
      <t>ヒラノ</t>
    </rPh>
    <phoneticPr fontId="2"/>
  </si>
  <si>
    <t>瓜破西</t>
    <rPh sb="0" eb="2">
      <t>ウリワリ</t>
    </rPh>
    <rPh sb="2" eb="3">
      <t>ニシ</t>
    </rPh>
    <phoneticPr fontId="2"/>
  </si>
  <si>
    <t>南平野</t>
    <rPh sb="0" eb="1">
      <t>ミナミ</t>
    </rPh>
    <rPh sb="1" eb="3">
      <t>ヒラノ</t>
    </rPh>
    <phoneticPr fontId="2"/>
  </si>
  <si>
    <t>喜連南平野</t>
    <rPh sb="0" eb="2">
      <t>キレ</t>
    </rPh>
    <rPh sb="2" eb="3">
      <t>ミナミ</t>
    </rPh>
    <rPh sb="3" eb="5">
      <t>ヒラノ</t>
    </rPh>
    <phoneticPr fontId="2"/>
  </si>
  <si>
    <t>平野北</t>
    <rPh sb="0" eb="2">
      <t>ヒラノ</t>
    </rPh>
    <rPh sb="2" eb="3">
      <t>キタ</t>
    </rPh>
    <phoneticPr fontId="2"/>
  </si>
  <si>
    <t>服部東</t>
    <rPh sb="0" eb="2">
      <t>ハットリ</t>
    </rPh>
    <rPh sb="2" eb="3">
      <t>ヒガシ</t>
    </rPh>
    <phoneticPr fontId="2"/>
  </si>
  <si>
    <t>岡町</t>
    <rPh sb="0" eb="2">
      <t>オカマチ</t>
    </rPh>
    <phoneticPr fontId="2"/>
  </si>
  <si>
    <t>豊中</t>
    <rPh sb="0" eb="2">
      <t>トヨナカ</t>
    </rPh>
    <phoneticPr fontId="2"/>
  </si>
  <si>
    <t>東豊中</t>
    <rPh sb="0" eb="1">
      <t>ヒガシ</t>
    </rPh>
    <rPh sb="1" eb="2">
      <t>ユタ</t>
    </rPh>
    <rPh sb="2" eb="3">
      <t>ナカ</t>
    </rPh>
    <phoneticPr fontId="2"/>
  </si>
  <si>
    <t>上野</t>
    <rPh sb="0" eb="2">
      <t>ウエノ</t>
    </rPh>
    <phoneticPr fontId="2"/>
  </si>
  <si>
    <t>北豊中</t>
    <rPh sb="0" eb="1">
      <t>キタ</t>
    </rPh>
    <rPh sb="1" eb="2">
      <t>ユタカ</t>
    </rPh>
    <rPh sb="2" eb="3">
      <t>ナカ</t>
    </rPh>
    <phoneticPr fontId="2"/>
  </si>
  <si>
    <t>桜井谷</t>
    <rPh sb="0" eb="2">
      <t>サクライ</t>
    </rPh>
    <rPh sb="2" eb="3">
      <t>タニ</t>
    </rPh>
    <phoneticPr fontId="2"/>
  </si>
  <si>
    <t>永楽荘</t>
    <rPh sb="0" eb="3">
      <t>エイラクソウ</t>
    </rPh>
    <phoneticPr fontId="2"/>
  </si>
  <si>
    <t>豊中西</t>
    <rPh sb="0" eb="2">
      <t>トヨナカ</t>
    </rPh>
    <rPh sb="2" eb="3">
      <t>ニシ</t>
    </rPh>
    <phoneticPr fontId="2"/>
  </si>
  <si>
    <t>服部</t>
    <rPh sb="0" eb="2">
      <t>ハットリ</t>
    </rPh>
    <phoneticPr fontId="2"/>
  </si>
  <si>
    <t>千里中央</t>
    <rPh sb="0" eb="2">
      <t>センリ</t>
    </rPh>
    <rPh sb="2" eb="4">
      <t>チュウオウ</t>
    </rPh>
    <phoneticPr fontId="2"/>
  </si>
  <si>
    <t>桜塚</t>
    <rPh sb="0" eb="1">
      <t>サクラ</t>
    </rPh>
    <rPh sb="1" eb="2">
      <t>ツカ</t>
    </rPh>
    <phoneticPr fontId="2"/>
  </si>
  <si>
    <t>庄内西</t>
    <rPh sb="0" eb="2">
      <t>ショウナイ</t>
    </rPh>
    <rPh sb="2" eb="3">
      <t>ニシ</t>
    </rPh>
    <phoneticPr fontId="2"/>
  </si>
  <si>
    <t>庄内東</t>
    <rPh sb="0" eb="2">
      <t>ショウナイ</t>
    </rPh>
    <rPh sb="2" eb="3">
      <t>ヒガシ</t>
    </rPh>
    <phoneticPr fontId="2"/>
  </si>
  <si>
    <t>庄内栄町</t>
    <rPh sb="0" eb="2">
      <t>ショウナイ</t>
    </rPh>
    <rPh sb="2" eb="4">
      <t>サカエチョウ</t>
    </rPh>
    <phoneticPr fontId="2"/>
  </si>
  <si>
    <t>千里南町</t>
    <rPh sb="0" eb="2">
      <t>センリ</t>
    </rPh>
    <rPh sb="2" eb="3">
      <t>ミナミ</t>
    </rPh>
    <rPh sb="3" eb="4">
      <t>マチ</t>
    </rPh>
    <phoneticPr fontId="2"/>
  </si>
  <si>
    <t>石橋</t>
    <rPh sb="0" eb="2">
      <t>イシバシ</t>
    </rPh>
    <phoneticPr fontId="2"/>
  </si>
  <si>
    <t>池田</t>
    <rPh sb="0" eb="2">
      <t>イケダ</t>
    </rPh>
    <phoneticPr fontId="2"/>
  </si>
  <si>
    <t>【北　部】  池田市</t>
    <rPh sb="1" eb="2">
      <t>キタ</t>
    </rPh>
    <rPh sb="3" eb="4">
      <t>ブ</t>
    </rPh>
    <rPh sb="7" eb="9">
      <t>イケダ</t>
    </rPh>
    <rPh sb="9" eb="10">
      <t>シ</t>
    </rPh>
    <phoneticPr fontId="2"/>
  </si>
  <si>
    <t>【北　部】   箕面市</t>
    <rPh sb="1" eb="2">
      <t>キタ</t>
    </rPh>
    <rPh sb="3" eb="4">
      <t>ブ</t>
    </rPh>
    <rPh sb="8" eb="10">
      <t>ミノオ</t>
    </rPh>
    <rPh sb="10" eb="11">
      <t>シ</t>
    </rPh>
    <phoneticPr fontId="2"/>
  </si>
  <si>
    <t>玉出</t>
    <rPh sb="0" eb="1">
      <t>タマ</t>
    </rPh>
    <rPh sb="1" eb="2">
      <t>デ</t>
    </rPh>
    <phoneticPr fontId="2"/>
  </si>
  <si>
    <t>西天下茶屋</t>
    <rPh sb="0" eb="1">
      <t>ニシ</t>
    </rPh>
    <rPh sb="1" eb="5">
      <t>テンガチャヤ</t>
    </rPh>
    <phoneticPr fontId="2"/>
  </si>
  <si>
    <t>西成中央</t>
    <rPh sb="0" eb="1">
      <t>ニシ</t>
    </rPh>
    <rPh sb="1" eb="2">
      <t>ナ</t>
    </rPh>
    <rPh sb="2" eb="4">
      <t>チュウオウ</t>
    </rPh>
    <phoneticPr fontId="2"/>
  </si>
  <si>
    <t>梅通</t>
    <rPh sb="0" eb="1">
      <t>ウメ</t>
    </rPh>
    <rPh sb="1" eb="2">
      <t>トオ</t>
    </rPh>
    <phoneticPr fontId="2"/>
  </si>
  <si>
    <t>天下茶屋</t>
    <rPh sb="0" eb="4">
      <t>テンガチャヤ</t>
    </rPh>
    <phoneticPr fontId="2"/>
  </si>
  <si>
    <t>津守</t>
    <rPh sb="0" eb="1">
      <t>ツ</t>
    </rPh>
    <rPh sb="1" eb="2">
      <t>モリ</t>
    </rPh>
    <phoneticPr fontId="2"/>
  </si>
  <si>
    <t>天王寺</t>
    <rPh sb="0" eb="3">
      <t>テンノウジ</t>
    </rPh>
    <phoneticPr fontId="2"/>
  </si>
  <si>
    <t>寺田町</t>
    <rPh sb="0" eb="2">
      <t>テラダ</t>
    </rPh>
    <rPh sb="2" eb="3">
      <t>マチ</t>
    </rPh>
    <phoneticPr fontId="2"/>
  </si>
  <si>
    <t>【大阪市内】   生野区</t>
    <rPh sb="1" eb="3">
      <t>オオサカ</t>
    </rPh>
    <rPh sb="3" eb="4">
      <t>シ</t>
    </rPh>
    <rPh sb="4" eb="5">
      <t>ナイ</t>
    </rPh>
    <rPh sb="9" eb="12">
      <t>イクノク</t>
    </rPh>
    <phoneticPr fontId="2"/>
  </si>
  <si>
    <t>巽</t>
    <rPh sb="0" eb="1">
      <t>タツミ</t>
    </rPh>
    <phoneticPr fontId="2"/>
  </si>
  <si>
    <t>大池橋</t>
    <rPh sb="0" eb="2">
      <t>オオイケ</t>
    </rPh>
    <rPh sb="2" eb="3">
      <t>バシ</t>
    </rPh>
    <phoneticPr fontId="2"/>
  </si>
  <si>
    <t>桃谷</t>
    <rPh sb="0" eb="2">
      <t>モモタニ</t>
    </rPh>
    <phoneticPr fontId="2"/>
  </si>
  <si>
    <t>舎利寺</t>
    <rPh sb="0" eb="3">
      <t>シャリジ</t>
    </rPh>
    <phoneticPr fontId="2"/>
  </si>
  <si>
    <t>田島</t>
    <rPh sb="0" eb="2">
      <t>タシマ</t>
    </rPh>
    <phoneticPr fontId="2"/>
  </si>
  <si>
    <t>御勝山</t>
    <rPh sb="0" eb="1">
      <t>ゴ</t>
    </rPh>
    <rPh sb="1" eb="2">
      <t>カツ</t>
    </rPh>
    <rPh sb="2" eb="3">
      <t>ヤマ</t>
    </rPh>
    <phoneticPr fontId="2"/>
  </si>
  <si>
    <t>新今里</t>
    <rPh sb="0" eb="1">
      <t>シン</t>
    </rPh>
    <rPh sb="1" eb="3">
      <t>イマサト</t>
    </rPh>
    <phoneticPr fontId="2"/>
  </si>
  <si>
    <t>生野中央</t>
    <rPh sb="0" eb="2">
      <t>イクノ</t>
    </rPh>
    <rPh sb="2" eb="4">
      <t>チュウオウ</t>
    </rPh>
    <phoneticPr fontId="2"/>
  </si>
  <si>
    <t>巽・新今里</t>
    <rPh sb="0" eb="1">
      <t>タツミ</t>
    </rPh>
    <rPh sb="2" eb="3">
      <t>シン</t>
    </rPh>
    <rPh sb="3" eb="5">
      <t>イマサト</t>
    </rPh>
    <phoneticPr fontId="2"/>
  </si>
  <si>
    <t>深井東</t>
    <rPh sb="0" eb="2">
      <t>フカイ</t>
    </rPh>
    <rPh sb="2" eb="3">
      <t>ヒガシ</t>
    </rPh>
    <phoneticPr fontId="2"/>
  </si>
  <si>
    <t>【堺　市】   北区</t>
    <rPh sb="1" eb="2">
      <t>サカイ</t>
    </rPh>
    <rPh sb="3" eb="4">
      <t>シ</t>
    </rPh>
    <rPh sb="8" eb="9">
      <t>キタ</t>
    </rPh>
    <rPh sb="9" eb="10">
      <t>ク</t>
    </rPh>
    <phoneticPr fontId="2"/>
  </si>
  <si>
    <t>【堺市】   美原区</t>
    <rPh sb="1" eb="2">
      <t>サカイ</t>
    </rPh>
    <rPh sb="2" eb="3">
      <t>シ</t>
    </rPh>
    <rPh sb="7" eb="9">
      <t>ミハラ</t>
    </rPh>
    <rPh sb="9" eb="10">
      <t>ク</t>
    </rPh>
    <phoneticPr fontId="2"/>
  </si>
  <si>
    <t>【大阪市内】   東成区</t>
    <rPh sb="1" eb="3">
      <t>オオサカ</t>
    </rPh>
    <rPh sb="3" eb="4">
      <t>シ</t>
    </rPh>
    <rPh sb="4" eb="5">
      <t>ナイ</t>
    </rPh>
    <rPh sb="9" eb="10">
      <t>ヒガシ</t>
    </rPh>
    <rPh sb="10" eb="11">
      <t>ナ</t>
    </rPh>
    <rPh sb="11" eb="12">
      <t>ク</t>
    </rPh>
    <phoneticPr fontId="2"/>
  </si>
  <si>
    <t>Ｍ-天王寺</t>
    <rPh sb="2" eb="5">
      <t>テンノウジ</t>
    </rPh>
    <phoneticPr fontId="2"/>
  </si>
  <si>
    <t>大阪市天王寺区</t>
    <rPh sb="0" eb="3">
      <t>オオサカシ</t>
    </rPh>
    <rPh sb="3" eb="6">
      <t>テンノウジ</t>
    </rPh>
    <rPh sb="6" eb="7">
      <t>ク</t>
    </rPh>
    <phoneticPr fontId="2"/>
  </si>
  <si>
    <t>阪急正雀</t>
    <rPh sb="0" eb="2">
      <t>ハンキュウ</t>
    </rPh>
    <rPh sb="2" eb="3">
      <t>タダ</t>
    </rPh>
    <rPh sb="3" eb="4">
      <t>スズメ</t>
    </rPh>
    <phoneticPr fontId="2"/>
  </si>
  <si>
    <t>大阪市生野区</t>
    <rPh sb="0" eb="2">
      <t>オオサカ</t>
    </rPh>
    <rPh sb="2" eb="3">
      <t>シ</t>
    </rPh>
    <rPh sb="3" eb="5">
      <t>イクノ</t>
    </rPh>
    <rPh sb="5" eb="6">
      <t>ク</t>
    </rPh>
    <phoneticPr fontId="2"/>
  </si>
  <si>
    <t>新森</t>
    <rPh sb="0" eb="2">
      <t>シンモリ</t>
    </rPh>
    <phoneticPr fontId="2"/>
  </si>
  <si>
    <t>Ａ-大池橋</t>
    <rPh sb="2" eb="4">
      <t>オオイケ</t>
    </rPh>
    <rPh sb="4" eb="5">
      <t>バシ</t>
    </rPh>
    <phoneticPr fontId="2"/>
  </si>
  <si>
    <t>Ｍ-田島</t>
    <rPh sb="2" eb="4">
      <t>タジマ</t>
    </rPh>
    <phoneticPr fontId="2"/>
  </si>
  <si>
    <t>大阪市生野区</t>
    <rPh sb="0" eb="3">
      <t>オオサカシ</t>
    </rPh>
    <rPh sb="3" eb="5">
      <t>イクノ</t>
    </rPh>
    <rPh sb="5" eb="6">
      <t>ク</t>
    </rPh>
    <phoneticPr fontId="2"/>
  </si>
  <si>
    <t xml:space="preserve">サイズ </t>
    <phoneticPr fontId="2"/>
  </si>
  <si>
    <t>Ｎ日経新聞</t>
    <rPh sb="1" eb="3">
      <t>ニッケイ</t>
    </rPh>
    <phoneticPr fontId="2"/>
  </si>
  <si>
    <t>Ｙ-東成</t>
    <rPh sb="2" eb="3">
      <t>ヒガシ</t>
    </rPh>
    <rPh sb="3" eb="4">
      <t>ナ</t>
    </rPh>
    <phoneticPr fontId="2"/>
  </si>
  <si>
    <t>大阪市東成区</t>
    <rPh sb="0" eb="2">
      <t>オオサカ</t>
    </rPh>
    <rPh sb="2" eb="3">
      <t>シ</t>
    </rPh>
    <rPh sb="3" eb="4">
      <t>ヒガシ</t>
    </rPh>
    <rPh sb="4" eb="5">
      <t>ナ</t>
    </rPh>
    <rPh sb="5" eb="6">
      <t>ク</t>
    </rPh>
    <phoneticPr fontId="2"/>
  </si>
  <si>
    <t>大阪市城東区</t>
    <rPh sb="0" eb="2">
      <t>オオサカ</t>
    </rPh>
    <rPh sb="2" eb="3">
      <t>シ</t>
    </rPh>
    <rPh sb="3" eb="5">
      <t>ジョウトウ</t>
    </rPh>
    <rPh sb="5" eb="6">
      <t>ク</t>
    </rPh>
    <phoneticPr fontId="2"/>
  </si>
  <si>
    <t>大阪市鶴見区</t>
    <rPh sb="0" eb="2">
      <t>オオサカ</t>
    </rPh>
    <rPh sb="2" eb="3">
      <t>シ</t>
    </rPh>
    <rPh sb="3" eb="5">
      <t>ツルミ</t>
    </rPh>
    <rPh sb="5" eb="6">
      <t>ク</t>
    </rPh>
    <phoneticPr fontId="2"/>
  </si>
  <si>
    <t>Ｍ-放出</t>
    <rPh sb="2" eb="4">
      <t>ハナテン</t>
    </rPh>
    <phoneticPr fontId="2"/>
  </si>
  <si>
    <t>大阪市住吉区</t>
    <rPh sb="0" eb="2">
      <t>オオサカ</t>
    </rPh>
    <rPh sb="2" eb="3">
      <t>シ</t>
    </rPh>
    <rPh sb="3" eb="5">
      <t>スミヨシ</t>
    </rPh>
    <rPh sb="5" eb="6">
      <t>ク</t>
    </rPh>
    <phoneticPr fontId="2"/>
  </si>
  <si>
    <t>Ａ-住吉</t>
    <rPh sb="2" eb="4">
      <t>スミヨシ</t>
    </rPh>
    <phoneticPr fontId="2"/>
  </si>
  <si>
    <t>Ｍ-住吉</t>
    <rPh sb="2" eb="4">
      <t>スミヨシ</t>
    </rPh>
    <phoneticPr fontId="2"/>
  </si>
  <si>
    <t>Ｙ-帝塚山</t>
    <rPh sb="2" eb="5">
      <t>テヅカヤマ</t>
    </rPh>
    <phoneticPr fontId="2"/>
  </si>
  <si>
    <t>大阪市東住吉区</t>
    <rPh sb="0" eb="2">
      <t>オオサカ</t>
    </rPh>
    <rPh sb="2" eb="3">
      <t>シ</t>
    </rPh>
    <rPh sb="3" eb="4">
      <t>ヒガシ</t>
    </rPh>
    <rPh sb="4" eb="6">
      <t>スミヨシ</t>
    </rPh>
    <rPh sb="6" eb="7">
      <t>ク</t>
    </rPh>
    <phoneticPr fontId="2"/>
  </si>
  <si>
    <t>大阪市東住吉区</t>
    <rPh sb="0" eb="3">
      <t>オオサカシ</t>
    </rPh>
    <rPh sb="3" eb="4">
      <t>ヒガシ</t>
    </rPh>
    <rPh sb="4" eb="6">
      <t>スミヨシ</t>
    </rPh>
    <rPh sb="6" eb="7">
      <t>ク</t>
    </rPh>
    <phoneticPr fontId="2"/>
  </si>
  <si>
    <t>大阪市住之江区</t>
    <rPh sb="0" eb="2">
      <t>オオサカ</t>
    </rPh>
    <rPh sb="2" eb="3">
      <t>シ</t>
    </rPh>
    <rPh sb="3" eb="7">
      <t>スミノエク</t>
    </rPh>
    <phoneticPr fontId="2"/>
  </si>
  <si>
    <t>大阪市住之江区</t>
    <rPh sb="0" eb="3">
      <t>オオサカシ</t>
    </rPh>
    <rPh sb="3" eb="6">
      <t>スミノエ</t>
    </rPh>
    <rPh sb="6" eb="7">
      <t>ク</t>
    </rPh>
    <phoneticPr fontId="2"/>
  </si>
  <si>
    <t>大阪市平野区</t>
    <rPh sb="0" eb="2">
      <t>オオサカ</t>
    </rPh>
    <rPh sb="2" eb="3">
      <t>シ</t>
    </rPh>
    <rPh sb="3" eb="5">
      <t>ヒラノ</t>
    </rPh>
    <rPh sb="5" eb="6">
      <t>ク</t>
    </rPh>
    <phoneticPr fontId="2"/>
  </si>
  <si>
    <t>Ａ-長吉</t>
    <rPh sb="2" eb="4">
      <t>ナガヨシ</t>
    </rPh>
    <phoneticPr fontId="2"/>
  </si>
  <si>
    <t>Ａ-北平野</t>
    <rPh sb="2" eb="3">
      <t>キタ</t>
    </rPh>
    <rPh sb="3" eb="5">
      <t>ヒラノ</t>
    </rPh>
    <phoneticPr fontId="2"/>
  </si>
  <si>
    <t>Ｍ-喜連</t>
    <rPh sb="2" eb="4">
      <t>キレ</t>
    </rPh>
    <phoneticPr fontId="2"/>
  </si>
  <si>
    <t>Ｍ-西平野</t>
    <rPh sb="2" eb="3">
      <t>ニシ</t>
    </rPh>
    <rPh sb="3" eb="5">
      <t>ヒラノ</t>
    </rPh>
    <phoneticPr fontId="2"/>
  </si>
  <si>
    <t>大阪市平野区</t>
    <rPh sb="0" eb="3">
      <t>オオサカシ</t>
    </rPh>
    <rPh sb="3" eb="5">
      <t>ヒラノ</t>
    </rPh>
    <rPh sb="5" eb="6">
      <t>ク</t>
    </rPh>
    <phoneticPr fontId="2"/>
  </si>
  <si>
    <t xml:space="preserve">大阪府　新聞折込資料表 </t>
    <rPh sb="0" eb="2">
      <t>オオサカ</t>
    </rPh>
    <rPh sb="2" eb="3">
      <t>フ</t>
    </rPh>
    <rPh sb="8" eb="10">
      <t>シリョウ</t>
    </rPh>
    <phoneticPr fontId="2"/>
  </si>
  <si>
    <t>Ｍ-豊中</t>
    <rPh sb="2" eb="4">
      <t>トヨナカ</t>
    </rPh>
    <phoneticPr fontId="2"/>
  </si>
  <si>
    <t>Ｙ-服部東</t>
    <rPh sb="2" eb="4">
      <t>ハットリ</t>
    </rPh>
    <rPh sb="4" eb="5">
      <t>ヒガシ</t>
    </rPh>
    <phoneticPr fontId="2"/>
  </si>
  <si>
    <t>Ａ-箕面西</t>
    <rPh sb="2" eb="4">
      <t>ミノオ</t>
    </rPh>
    <rPh sb="4" eb="5">
      <t>セイ</t>
    </rPh>
    <phoneticPr fontId="2"/>
  </si>
  <si>
    <t>Ａ-箕面東</t>
    <rPh sb="2" eb="4">
      <t>ミノオ</t>
    </rPh>
    <rPh sb="4" eb="5">
      <t>ヒガシ</t>
    </rPh>
    <phoneticPr fontId="2"/>
  </si>
  <si>
    <t>Ａ-小野原</t>
    <rPh sb="2" eb="5">
      <t>オノハラ</t>
    </rPh>
    <phoneticPr fontId="2"/>
  </si>
  <si>
    <t>森ノ宮</t>
    <rPh sb="0" eb="1">
      <t>モリ</t>
    </rPh>
    <rPh sb="2" eb="3">
      <t>ミヤ</t>
    </rPh>
    <phoneticPr fontId="2"/>
  </si>
  <si>
    <t>深江</t>
    <rPh sb="0" eb="2">
      <t>フカエ</t>
    </rPh>
    <phoneticPr fontId="2"/>
  </si>
  <si>
    <t>緑橋</t>
    <rPh sb="0" eb="1">
      <t>ミドリ</t>
    </rPh>
    <rPh sb="1" eb="2">
      <t>バシ</t>
    </rPh>
    <phoneticPr fontId="2"/>
  </si>
  <si>
    <t>東成</t>
    <rPh sb="0" eb="1">
      <t>ヒガシ</t>
    </rPh>
    <rPh sb="1" eb="2">
      <t>ナ</t>
    </rPh>
    <phoneticPr fontId="2"/>
  </si>
  <si>
    <t>関目</t>
    <rPh sb="0" eb="2">
      <t>セキメ</t>
    </rPh>
    <phoneticPr fontId="2"/>
  </si>
  <si>
    <t>諏訪</t>
    <rPh sb="0" eb="2">
      <t>スワ</t>
    </rPh>
    <phoneticPr fontId="2"/>
  </si>
  <si>
    <t>城東南</t>
    <rPh sb="0" eb="2">
      <t>ジョウトウ</t>
    </rPh>
    <rPh sb="2" eb="3">
      <t>ミナミ</t>
    </rPh>
    <phoneticPr fontId="2"/>
  </si>
  <si>
    <t>Ｍ-生野北</t>
    <rPh sb="2" eb="4">
      <t>イクノ</t>
    </rPh>
    <rPh sb="4" eb="5">
      <t>キタ</t>
    </rPh>
    <phoneticPr fontId="2"/>
  </si>
  <si>
    <t>蒲生</t>
    <rPh sb="0" eb="2">
      <t>ガモウ</t>
    </rPh>
    <phoneticPr fontId="2"/>
  </si>
  <si>
    <t>鴫野</t>
    <rPh sb="0" eb="2">
      <t>シギノ</t>
    </rPh>
    <phoneticPr fontId="2"/>
  </si>
  <si>
    <t>古市</t>
    <rPh sb="0" eb="2">
      <t>フルイチ</t>
    </rPh>
    <phoneticPr fontId="2"/>
  </si>
  <si>
    <t>城東古市</t>
    <rPh sb="0" eb="2">
      <t>ジョウトウ</t>
    </rPh>
    <rPh sb="2" eb="4">
      <t>フルイチ</t>
    </rPh>
    <phoneticPr fontId="2"/>
  </si>
  <si>
    <t>東関目</t>
    <rPh sb="0" eb="1">
      <t>ヒガシ</t>
    </rPh>
    <rPh sb="1" eb="3">
      <t>セキメ</t>
    </rPh>
    <phoneticPr fontId="2"/>
  </si>
  <si>
    <t>城東</t>
    <rPh sb="0" eb="2">
      <t>ジョウトウ</t>
    </rPh>
    <phoneticPr fontId="2"/>
  </si>
  <si>
    <t>【大阪市内】   鶴見区</t>
    <rPh sb="1" eb="3">
      <t>オオサカ</t>
    </rPh>
    <rPh sb="3" eb="4">
      <t>シ</t>
    </rPh>
    <rPh sb="4" eb="5">
      <t>ナイ</t>
    </rPh>
    <rPh sb="9" eb="12">
      <t>ツルミク</t>
    </rPh>
    <phoneticPr fontId="2"/>
  </si>
  <si>
    <t>放出</t>
    <rPh sb="0" eb="2">
      <t>ハナテン</t>
    </rPh>
    <phoneticPr fontId="2"/>
  </si>
  <si>
    <t>徳庵</t>
    <rPh sb="0" eb="2">
      <t>トクアン</t>
    </rPh>
    <phoneticPr fontId="2"/>
  </si>
  <si>
    <t>茨田町</t>
    <rPh sb="0" eb="2">
      <t>イダ</t>
    </rPh>
    <rPh sb="2" eb="3">
      <t>マチ</t>
    </rPh>
    <phoneticPr fontId="2"/>
  </si>
  <si>
    <t>鶴見町</t>
    <rPh sb="0" eb="2">
      <t>ツルミ</t>
    </rPh>
    <rPh sb="2" eb="3">
      <t>マチ</t>
    </rPh>
    <phoneticPr fontId="2"/>
  </si>
  <si>
    <t>今福鶴見</t>
    <rPh sb="0" eb="2">
      <t>イマフク</t>
    </rPh>
    <rPh sb="2" eb="4">
      <t>ツルミ</t>
    </rPh>
    <phoneticPr fontId="2"/>
  </si>
  <si>
    <t>長居</t>
    <rPh sb="0" eb="2">
      <t>ナガイ</t>
    </rPh>
    <phoneticPr fontId="2"/>
  </si>
  <si>
    <t>住吉</t>
    <rPh sb="0" eb="2">
      <t>スミヨシ</t>
    </rPh>
    <phoneticPr fontId="2"/>
  </si>
  <si>
    <t>帝塚山</t>
    <rPh sb="0" eb="3">
      <t>テヅカヤマ</t>
    </rPh>
    <phoneticPr fontId="2"/>
  </si>
  <si>
    <t>守口東</t>
    <rPh sb="0" eb="2">
      <t>モリグチ</t>
    </rPh>
    <rPh sb="2" eb="3">
      <t>ヒガシ</t>
    </rPh>
    <phoneticPr fontId="2"/>
  </si>
  <si>
    <t>守口西</t>
    <rPh sb="0" eb="2">
      <t>モリグチ</t>
    </rPh>
    <rPh sb="2" eb="3">
      <t>ニシ</t>
    </rPh>
    <phoneticPr fontId="2"/>
  </si>
  <si>
    <t>守口北</t>
    <rPh sb="0" eb="2">
      <t>モリグチ</t>
    </rPh>
    <rPh sb="2" eb="3">
      <t>キタ</t>
    </rPh>
    <phoneticPr fontId="2"/>
  </si>
  <si>
    <t>庭窪</t>
    <rPh sb="0" eb="1">
      <t>ニワ</t>
    </rPh>
    <rPh sb="1" eb="2">
      <t>クボ</t>
    </rPh>
    <phoneticPr fontId="2"/>
  </si>
  <si>
    <t>藤田町</t>
    <rPh sb="0" eb="2">
      <t>フジタ</t>
    </rPh>
    <rPh sb="2" eb="3">
      <t>マチ</t>
    </rPh>
    <phoneticPr fontId="2"/>
  </si>
  <si>
    <t>【北・中・南河内】   交野市</t>
    <rPh sb="1" eb="2">
      <t>キタ</t>
    </rPh>
    <rPh sb="3" eb="4">
      <t>ナカ</t>
    </rPh>
    <rPh sb="5" eb="6">
      <t>ミナミ</t>
    </rPh>
    <rPh sb="6" eb="8">
      <t>カワチ</t>
    </rPh>
    <rPh sb="12" eb="15">
      <t>カタノシ</t>
    </rPh>
    <phoneticPr fontId="2"/>
  </si>
  <si>
    <t>星田</t>
    <rPh sb="0" eb="2">
      <t>ホシダ</t>
    </rPh>
    <phoneticPr fontId="2"/>
  </si>
  <si>
    <t>交野</t>
    <rPh sb="0" eb="2">
      <t>カタノ</t>
    </rPh>
    <phoneticPr fontId="2"/>
  </si>
  <si>
    <t>交野団地</t>
    <rPh sb="0" eb="2">
      <t>カタノ</t>
    </rPh>
    <rPh sb="2" eb="4">
      <t>ダンチ</t>
    </rPh>
    <phoneticPr fontId="2"/>
  </si>
  <si>
    <t>【北・中・南河内】   四条畷市</t>
    <rPh sb="1" eb="2">
      <t>キタ</t>
    </rPh>
    <rPh sb="3" eb="4">
      <t>ナカ</t>
    </rPh>
    <rPh sb="5" eb="6">
      <t>ミナミ</t>
    </rPh>
    <rPh sb="6" eb="8">
      <t>カワチ</t>
    </rPh>
    <rPh sb="12" eb="15">
      <t>シジョウナワテ</t>
    </rPh>
    <rPh sb="15" eb="16">
      <t>シ</t>
    </rPh>
    <phoneticPr fontId="2"/>
  </si>
  <si>
    <t>四条畷</t>
    <rPh sb="0" eb="3">
      <t>シジョウナワテ</t>
    </rPh>
    <phoneticPr fontId="2"/>
  </si>
  <si>
    <t>忍ヶ丘</t>
    <rPh sb="0" eb="3">
      <t>シノブガオカ</t>
    </rPh>
    <phoneticPr fontId="2"/>
  </si>
  <si>
    <t xml:space="preserve"> </t>
    <phoneticPr fontId="2"/>
  </si>
  <si>
    <t>タイトル</t>
    <phoneticPr fontId="2"/>
  </si>
  <si>
    <t>サイズ     　　  　</t>
    <phoneticPr fontId="2"/>
  </si>
  <si>
    <t>【北・中・南河内】   大東市</t>
    <rPh sb="1" eb="2">
      <t>キタ</t>
    </rPh>
    <rPh sb="3" eb="4">
      <t>ナカ</t>
    </rPh>
    <rPh sb="5" eb="6">
      <t>ミナミ</t>
    </rPh>
    <rPh sb="6" eb="8">
      <t>カワチ</t>
    </rPh>
    <rPh sb="12" eb="14">
      <t>ダイトウ</t>
    </rPh>
    <rPh sb="14" eb="15">
      <t>シ</t>
    </rPh>
    <phoneticPr fontId="2"/>
  </si>
  <si>
    <t>鴻ノ池</t>
    <rPh sb="0" eb="1">
      <t>オオトリ</t>
    </rPh>
    <rPh sb="2" eb="3">
      <t>イケ</t>
    </rPh>
    <phoneticPr fontId="2"/>
  </si>
  <si>
    <t>野崎</t>
    <rPh sb="0" eb="2">
      <t>ノザキ</t>
    </rPh>
    <phoneticPr fontId="2"/>
  </si>
  <si>
    <t>住道南</t>
    <rPh sb="0" eb="2">
      <t>スミノドウ</t>
    </rPh>
    <rPh sb="2" eb="3">
      <t>ミナミ</t>
    </rPh>
    <phoneticPr fontId="2"/>
  </si>
  <si>
    <t>住道</t>
    <rPh sb="0" eb="2">
      <t>スミノドウ</t>
    </rPh>
    <phoneticPr fontId="2"/>
  </si>
  <si>
    <t>吉川</t>
    <rPh sb="0" eb="2">
      <t>ヨカワ</t>
    </rPh>
    <phoneticPr fontId="2"/>
  </si>
  <si>
    <t>交野私部</t>
    <rPh sb="0" eb="2">
      <t>カタノ</t>
    </rPh>
    <rPh sb="2" eb="3">
      <t>ワタシ</t>
    </rPh>
    <rPh sb="3" eb="4">
      <t>ブ</t>
    </rPh>
    <phoneticPr fontId="2"/>
  </si>
  <si>
    <t>Ｍ-交野私部</t>
    <rPh sb="2" eb="4">
      <t>カタノ</t>
    </rPh>
    <rPh sb="4" eb="5">
      <t>ワタシ</t>
    </rPh>
    <rPh sb="5" eb="6">
      <t>ベ</t>
    </rPh>
    <phoneticPr fontId="2"/>
  </si>
  <si>
    <t>淀川中央</t>
    <rPh sb="0" eb="2">
      <t>ヨドガワ</t>
    </rPh>
    <rPh sb="2" eb="4">
      <t>チュウオウ</t>
    </rPh>
    <phoneticPr fontId="2"/>
  </si>
  <si>
    <t>枚岡石切</t>
    <rPh sb="0" eb="1">
      <t>マイ</t>
    </rPh>
    <rPh sb="1" eb="2">
      <t>オカ</t>
    </rPh>
    <rPh sb="2" eb="4">
      <t>イシキリ</t>
    </rPh>
    <phoneticPr fontId="2"/>
  </si>
  <si>
    <t>二色浜・鶴原</t>
    <rPh sb="0" eb="2">
      <t>ニショク</t>
    </rPh>
    <rPh sb="2" eb="3">
      <t>ハマ</t>
    </rPh>
    <rPh sb="4" eb="6">
      <t>ツルハラ</t>
    </rPh>
    <phoneticPr fontId="2"/>
  </si>
  <si>
    <t>北野田駅西</t>
    <rPh sb="0" eb="1">
      <t>キタ</t>
    </rPh>
    <rPh sb="1" eb="3">
      <t>ノダ</t>
    </rPh>
    <rPh sb="3" eb="4">
      <t>エキ</t>
    </rPh>
    <rPh sb="4" eb="5">
      <t>ニシ</t>
    </rPh>
    <phoneticPr fontId="2"/>
  </si>
  <si>
    <t>豊中中央</t>
    <rPh sb="0" eb="2">
      <t>トヨナカ</t>
    </rPh>
    <rPh sb="2" eb="4">
      <t>チュウオウ</t>
    </rPh>
    <phoneticPr fontId="2"/>
  </si>
  <si>
    <t>朝汐橋</t>
    <rPh sb="0" eb="1">
      <t>アサ</t>
    </rPh>
    <rPh sb="1" eb="2">
      <t>シオ</t>
    </rPh>
    <rPh sb="2" eb="3">
      <t>バシ</t>
    </rPh>
    <phoneticPr fontId="2"/>
  </si>
  <si>
    <t>西難波</t>
    <rPh sb="0" eb="1">
      <t>ニシ</t>
    </rPh>
    <rPh sb="1" eb="3">
      <t>ナンバ</t>
    </rPh>
    <phoneticPr fontId="2"/>
  </si>
  <si>
    <t>岸辺</t>
    <rPh sb="0" eb="2">
      <t>キシベ</t>
    </rPh>
    <phoneticPr fontId="2"/>
  </si>
  <si>
    <t>香里ヶ丘</t>
    <rPh sb="0" eb="1">
      <t>カオル</t>
    </rPh>
    <rPh sb="1" eb="2">
      <t>サト</t>
    </rPh>
    <rPh sb="3" eb="4">
      <t>オカ</t>
    </rPh>
    <phoneticPr fontId="2"/>
  </si>
  <si>
    <t>三井が丘</t>
    <rPh sb="0" eb="2">
      <t>ミツイ</t>
    </rPh>
    <rPh sb="3" eb="4">
      <t>オカ</t>
    </rPh>
    <phoneticPr fontId="2"/>
  </si>
  <si>
    <t>住道南</t>
    <rPh sb="0" eb="1">
      <t>ジュウ</t>
    </rPh>
    <rPh sb="1" eb="2">
      <t>ドウ</t>
    </rPh>
    <rPh sb="2" eb="3">
      <t>ミナミ</t>
    </rPh>
    <phoneticPr fontId="2"/>
  </si>
  <si>
    <t>住道北</t>
    <rPh sb="0" eb="1">
      <t>ジュウ</t>
    </rPh>
    <rPh sb="1" eb="2">
      <t>ドウ</t>
    </rPh>
    <rPh sb="2" eb="3">
      <t>キタ</t>
    </rPh>
    <phoneticPr fontId="2"/>
  </si>
  <si>
    <t>新金岡白鷺</t>
    <rPh sb="0" eb="1">
      <t>シン</t>
    </rPh>
    <rPh sb="1" eb="3">
      <t>カネオカ</t>
    </rPh>
    <rPh sb="3" eb="4">
      <t>シロ</t>
    </rPh>
    <phoneticPr fontId="2"/>
  </si>
  <si>
    <t>Ｙ-豊中中央</t>
    <rPh sb="2" eb="4">
      <t>トヨナカ</t>
    </rPh>
    <rPh sb="4" eb="6">
      <t>チュウオウ</t>
    </rPh>
    <phoneticPr fontId="2"/>
  </si>
  <si>
    <t>小阪北</t>
    <rPh sb="0" eb="2">
      <t>コサカ</t>
    </rPh>
    <rPh sb="2" eb="3">
      <t>キタ</t>
    </rPh>
    <phoneticPr fontId="2"/>
  </si>
  <si>
    <t>和泉</t>
    <rPh sb="0" eb="2">
      <t>イズミ</t>
    </rPh>
    <phoneticPr fontId="2"/>
  </si>
  <si>
    <t>Ｙ-弁天町</t>
    <rPh sb="2" eb="5">
      <t>ベンテンチョウ</t>
    </rPh>
    <phoneticPr fontId="2"/>
  </si>
  <si>
    <t>Ａ-小阪北</t>
    <rPh sb="2" eb="4">
      <t>コサカ</t>
    </rPh>
    <rPh sb="4" eb="5">
      <t>キタ</t>
    </rPh>
    <phoneticPr fontId="2"/>
  </si>
  <si>
    <t>天王寺</t>
    <rPh sb="0" eb="1">
      <t>テン</t>
    </rPh>
    <phoneticPr fontId="2"/>
  </si>
  <si>
    <t>㈱神戸新聞総合折込</t>
  </si>
  <si>
    <t>月</t>
    <rPh sb="0" eb="1">
      <t>ゲツ</t>
    </rPh>
    <phoneticPr fontId="2"/>
  </si>
  <si>
    <t>※月:月曜折込不可</t>
    <rPh sb="1" eb="2">
      <t>ゲツ</t>
    </rPh>
    <rPh sb="3" eb="5">
      <t>ゲツヨウ</t>
    </rPh>
    <rPh sb="5" eb="7">
      <t>オリコミ</t>
    </rPh>
    <rPh sb="7" eb="9">
      <t>フカ</t>
    </rPh>
    <phoneticPr fontId="2"/>
  </si>
  <si>
    <t>交野南</t>
    <phoneticPr fontId="2"/>
  </si>
  <si>
    <t>なかもず</t>
    <phoneticPr fontId="2"/>
  </si>
  <si>
    <t>淀川三国</t>
    <rPh sb="0" eb="2">
      <t>ヨドガワ</t>
    </rPh>
    <rPh sb="2" eb="4">
      <t>ミクニ</t>
    </rPh>
    <phoneticPr fontId="2"/>
  </si>
  <si>
    <t>Ｍ-十三塚本</t>
    <rPh sb="2" eb="4">
      <t>ジュウソウ</t>
    </rPh>
    <rPh sb="4" eb="6">
      <t>ツカモト</t>
    </rPh>
    <phoneticPr fontId="2"/>
  </si>
  <si>
    <t>Ｍ-淀川三国</t>
    <rPh sb="2" eb="4">
      <t>ヨドガワ</t>
    </rPh>
    <rPh sb="4" eb="6">
      <t>ミクニ</t>
    </rPh>
    <phoneticPr fontId="2"/>
  </si>
  <si>
    <t>高槻北</t>
    <phoneticPr fontId="2"/>
  </si>
  <si>
    <t>高槻上牧</t>
    <rPh sb="0" eb="2">
      <t>タカツキ</t>
    </rPh>
    <rPh sb="2" eb="3">
      <t>カミ</t>
    </rPh>
    <rPh sb="3" eb="4">
      <t>マキ</t>
    </rPh>
    <phoneticPr fontId="2"/>
  </si>
  <si>
    <t>Ａ-高槻上牧</t>
    <rPh sb="2" eb="4">
      <t>タカツキ</t>
    </rPh>
    <rPh sb="4" eb="5">
      <t>カミ</t>
    </rPh>
    <rPh sb="5" eb="6">
      <t>マキ</t>
    </rPh>
    <phoneticPr fontId="2"/>
  </si>
  <si>
    <t>東部市場</t>
    <phoneticPr fontId="2"/>
  </si>
  <si>
    <t>Ａ-東部市場</t>
    <phoneticPr fontId="2"/>
  </si>
  <si>
    <t>香里園</t>
    <rPh sb="0" eb="1">
      <t>カオ</t>
    </rPh>
    <rPh sb="1" eb="2">
      <t>サト</t>
    </rPh>
    <rPh sb="2" eb="3">
      <t>エン</t>
    </rPh>
    <phoneticPr fontId="2"/>
  </si>
  <si>
    <t>Ａ-高槻北</t>
    <rPh sb="2" eb="4">
      <t>タカツキ</t>
    </rPh>
    <rPh sb="4" eb="5">
      <t>キタ</t>
    </rPh>
    <phoneticPr fontId="2"/>
  </si>
  <si>
    <t>江坂東</t>
    <rPh sb="0" eb="2">
      <t>エサカ</t>
    </rPh>
    <rPh sb="2" eb="3">
      <t>ヒガシ</t>
    </rPh>
    <phoneticPr fontId="2"/>
  </si>
  <si>
    <t>Ｍ-加美</t>
    <rPh sb="2" eb="4">
      <t>カミ</t>
    </rPh>
    <phoneticPr fontId="2"/>
  </si>
  <si>
    <t>Ｍ-茨木中央</t>
    <rPh sb="2" eb="4">
      <t>イバラギ</t>
    </rPh>
    <rPh sb="4" eb="6">
      <t>チュウオウ</t>
    </rPh>
    <phoneticPr fontId="2"/>
  </si>
  <si>
    <t>Ｍ-茨木西部</t>
    <rPh sb="2" eb="4">
      <t>イバラギ</t>
    </rPh>
    <rPh sb="4" eb="6">
      <t>セイブ</t>
    </rPh>
    <phoneticPr fontId="2"/>
  </si>
  <si>
    <t>茨木西部</t>
    <rPh sb="0" eb="2">
      <t>イバラギ</t>
    </rPh>
    <rPh sb="2" eb="3">
      <t>ニシ</t>
    </rPh>
    <rPh sb="3" eb="4">
      <t>ブ</t>
    </rPh>
    <phoneticPr fontId="2"/>
  </si>
  <si>
    <t>若江岩田･花園</t>
    <rPh sb="0" eb="2">
      <t>ワカエ</t>
    </rPh>
    <rPh sb="2" eb="4">
      <t>イワタ</t>
    </rPh>
    <rPh sb="5" eb="7">
      <t>ハナゾノ</t>
    </rPh>
    <phoneticPr fontId="2"/>
  </si>
  <si>
    <t>梅田北</t>
    <rPh sb="0" eb="2">
      <t>ウメダ</t>
    </rPh>
    <rPh sb="2" eb="3">
      <t>キタ</t>
    </rPh>
    <phoneticPr fontId="2"/>
  </si>
  <si>
    <t>枚岡</t>
    <rPh sb="0" eb="1">
      <t>マイ</t>
    </rPh>
    <rPh sb="1" eb="2">
      <t>オカ</t>
    </rPh>
    <phoneticPr fontId="2"/>
  </si>
  <si>
    <t>北豊中</t>
    <rPh sb="0" eb="1">
      <t>キタ</t>
    </rPh>
    <rPh sb="1" eb="3">
      <t>トヨナカ</t>
    </rPh>
    <phoneticPr fontId="2"/>
  </si>
  <si>
    <t>Ｍ-北豊中</t>
    <rPh sb="2" eb="3">
      <t>キタ</t>
    </rPh>
    <rPh sb="3" eb="5">
      <t>トヨナカ</t>
    </rPh>
    <phoneticPr fontId="2"/>
  </si>
  <si>
    <t>阿倍野北</t>
    <rPh sb="0" eb="3">
      <t>アベノ</t>
    </rPh>
    <rPh sb="3" eb="4">
      <t>キタ</t>
    </rPh>
    <phoneticPr fontId="2"/>
  </si>
  <si>
    <t>東吹田</t>
    <rPh sb="0" eb="1">
      <t>ヒガシ</t>
    </rPh>
    <rPh sb="1" eb="3">
      <t>スイタ</t>
    </rPh>
    <phoneticPr fontId="2"/>
  </si>
  <si>
    <t>千里山</t>
    <rPh sb="0" eb="2">
      <t>センリ</t>
    </rPh>
    <phoneticPr fontId="2"/>
  </si>
  <si>
    <t>千里桃山台</t>
    <rPh sb="0" eb="2">
      <t>センリ</t>
    </rPh>
    <rPh sb="2" eb="3">
      <t>モモ</t>
    </rPh>
    <rPh sb="3" eb="4">
      <t>ヤマ</t>
    </rPh>
    <rPh sb="4" eb="5">
      <t>ダイ</t>
    </rPh>
    <phoneticPr fontId="2"/>
  </si>
  <si>
    <t>東住吉中央</t>
    <rPh sb="0" eb="1">
      <t>ヒガシ</t>
    </rPh>
    <rPh sb="1" eb="3">
      <t>スミヨシ</t>
    </rPh>
    <rPh sb="3" eb="5">
      <t>チュウオウ</t>
    </rPh>
    <phoneticPr fontId="2"/>
  </si>
  <si>
    <t>Ａ-東住吉中央</t>
    <rPh sb="2" eb="3">
      <t>ヒガシ</t>
    </rPh>
    <rPh sb="3" eb="5">
      <t>スミヨシ</t>
    </rPh>
    <rPh sb="5" eb="7">
      <t>チュウオウ</t>
    </rPh>
    <phoneticPr fontId="2"/>
  </si>
  <si>
    <t>富田林中央</t>
    <rPh sb="0" eb="3">
      <t>トンダバヤシ</t>
    </rPh>
    <rPh sb="3" eb="5">
      <t>チュウオウ</t>
    </rPh>
    <phoneticPr fontId="2"/>
  </si>
  <si>
    <t>Ａ-富田林中央</t>
    <rPh sb="2" eb="5">
      <t>トンダバヤシ</t>
    </rPh>
    <rPh sb="5" eb="7">
      <t>チュウオウ</t>
    </rPh>
    <phoneticPr fontId="2"/>
  </si>
  <si>
    <t>天満中崎町梅田</t>
    <rPh sb="0" eb="2">
      <t>テンマ</t>
    </rPh>
    <rPh sb="2" eb="4">
      <t>ナカサキ</t>
    </rPh>
    <rPh sb="4" eb="5">
      <t>チョウ</t>
    </rPh>
    <rPh sb="5" eb="7">
      <t>ウメダ</t>
    </rPh>
    <phoneticPr fontId="2"/>
  </si>
  <si>
    <t>Ｙ-玉出</t>
    <rPh sb="2" eb="4">
      <t>タマデ</t>
    </rPh>
    <phoneticPr fontId="2"/>
  </si>
  <si>
    <t>Ｙ-浪速</t>
    <rPh sb="2" eb="4">
      <t>ナニワ</t>
    </rPh>
    <phoneticPr fontId="2"/>
  </si>
  <si>
    <t>鴻池北</t>
    <rPh sb="0" eb="1">
      <t>オオトリ</t>
    </rPh>
    <rPh sb="1" eb="2">
      <t>イケ</t>
    </rPh>
    <rPh sb="2" eb="3">
      <t>キタ</t>
    </rPh>
    <phoneticPr fontId="2"/>
  </si>
  <si>
    <t xml:space="preserve">                                                              平成１４年５月１７日改正</t>
    <phoneticPr fontId="3"/>
  </si>
  <si>
    <t>虚偽の広告はもちろん、「日本一」「世界一」等の最高・最大級の表現、「確実に儲</t>
    <phoneticPr fontId="3"/>
  </si>
  <si>
    <t>古市・太子</t>
    <rPh sb="0" eb="2">
      <t>フルイチ</t>
    </rPh>
    <rPh sb="3" eb="5">
      <t>タイシ</t>
    </rPh>
    <phoneticPr fontId="2"/>
  </si>
  <si>
    <t xml:space="preserve">サイズ </t>
    <phoneticPr fontId="2"/>
  </si>
  <si>
    <t>部数小計</t>
    <rPh sb="0" eb="2">
      <t>ブスウ</t>
    </rPh>
    <phoneticPr fontId="2"/>
  </si>
  <si>
    <t>折込小計</t>
    <rPh sb="0" eb="2">
      <t>オリコミ</t>
    </rPh>
    <phoneticPr fontId="2"/>
  </si>
  <si>
    <t>部数小計</t>
    <rPh sb="0" eb="2">
      <t>ブスウ</t>
    </rPh>
    <phoneticPr fontId="2"/>
  </si>
  <si>
    <t>折込小計</t>
    <rPh sb="0" eb="2">
      <t>オリコミ</t>
    </rPh>
    <phoneticPr fontId="2"/>
  </si>
  <si>
    <t>今里中央</t>
    <rPh sb="0" eb="2">
      <t>イマサト</t>
    </rPh>
    <rPh sb="2" eb="4">
      <t>チュウオウ</t>
    </rPh>
    <phoneticPr fontId="2"/>
  </si>
  <si>
    <t>Ａ-今里中央</t>
    <rPh sb="2" eb="4">
      <t>イマサト</t>
    </rPh>
    <rPh sb="4" eb="6">
      <t>チュウオウ</t>
    </rPh>
    <phoneticPr fontId="2"/>
  </si>
  <si>
    <t>関空泉佐野</t>
    <rPh sb="0" eb="2">
      <t>カンクウ</t>
    </rPh>
    <rPh sb="2" eb="3">
      <t>イズミ</t>
    </rPh>
    <rPh sb="3" eb="5">
      <t>サノ</t>
    </rPh>
    <phoneticPr fontId="2"/>
  </si>
  <si>
    <t>Ｍ-茨木北</t>
    <rPh sb="2" eb="4">
      <t>イバラギ</t>
    </rPh>
    <rPh sb="4" eb="5">
      <t>キタ</t>
    </rPh>
    <phoneticPr fontId="2"/>
  </si>
  <si>
    <t>Ａ-阿倍野北</t>
    <rPh sb="2" eb="5">
      <t>アベノ</t>
    </rPh>
    <rPh sb="5" eb="6">
      <t>キタ</t>
    </rPh>
    <phoneticPr fontId="2"/>
  </si>
  <si>
    <t>Y -阪急正雀</t>
    <rPh sb="3" eb="5">
      <t>ハンキュウ</t>
    </rPh>
    <rPh sb="5" eb="6">
      <t>タダ</t>
    </rPh>
    <rPh sb="6" eb="7">
      <t>スズメ</t>
    </rPh>
    <phoneticPr fontId="2"/>
  </si>
  <si>
    <t>Ａ-帝塚山</t>
    <rPh sb="2" eb="5">
      <t>テヅカヤマ</t>
    </rPh>
    <phoneticPr fontId="2"/>
  </si>
  <si>
    <t>Ｙ-我孫子西</t>
    <rPh sb="2" eb="6">
      <t>アビコニシ</t>
    </rPh>
    <phoneticPr fontId="2"/>
  </si>
  <si>
    <t>Ｙ-住吉</t>
    <rPh sb="2" eb="4">
      <t>スミヨシ</t>
    </rPh>
    <phoneticPr fontId="2"/>
  </si>
  <si>
    <t>Ａ-加賀屋</t>
    <rPh sb="2" eb="5">
      <t>カガヤ</t>
    </rPh>
    <phoneticPr fontId="2"/>
  </si>
  <si>
    <t>Ａ-南港PT</t>
    <rPh sb="2" eb="4">
      <t>ナンコウ</t>
    </rPh>
    <phoneticPr fontId="2"/>
  </si>
  <si>
    <t>Ｙ-長吉</t>
    <rPh sb="2" eb="4">
      <t>ナガヨシ</t>
    </rPh>
    <phoneticPr fontId="2"/>
  </si>
  <si>
    <t>Ａ-岡町</t>
    <rPh sb="2" eb="4">
      <t>オカマチ</t>
    </rPh>
    <phoneticPr fontId="2"/>
  </si>
  <si>
    <t>Ａ-豊中</t>
    <rPh sb="2" eb="3">
      <t>ユタ</t>
    </rPh>
    <rPh sb="3" eb="4">
      <t>ナカ</t>
    </rPh>
    <phoneticPr fontId="2"/>
  </si>
  <si>
    <t>Ａ-東豊中</t>
    <rPh sb="2" eb="3">
      <t>ヒガシ</t>
    </rPh>
    <rPh sb="3" eb="4">
      <t>ユタ</t>
    </rPh>
    <rPh sb="4" eb="5">
      <t>ナカ</t>
    </rPh>
    <phoneticPr fontId="2"/>
  </si>
  <si>
    <t>Ａ-上野</t>
    <rPh sb="2" eb="4">
      <t>ウエノ</t>
    </rPh>
    <phoneticPr fontId="2"/>
  </si>
  <si>
    <t>Ａ-北豊中</t>
    <rPh sb="2" eb="3">
      <t>キタ</t>
    </rPh>
    <rPh sb="3" eb="4">
      <t>ユタ</t>
    </rPh>
    <rPh sb="4" eb="5">
      <t>ナカ</t>
    </rPh>
    <phoneticPr fontId="2"/>
  </si>
  <si>
    <t>Ａ-桜井谷</t>
    <rPh sb="2" eb="4">
      <t>サクライ</t>
    </rPh>
    <rPh sb="4" eb="5">
      <t>タニ</t>
    </rPh>
    <phoneticPr fontId="2"/>
  </si>
  <si>
    <t>Ａ-永楽荘</t>
    <rPh sb="2" eb="4">
      <t>エイラク</t>
    </rPh>
    <rPh sb="4" eb="5">
      <t>ソウ</t>
    </rPh>
    <phoneticPr fontId="2"/>
  </si>
  <si>
    <t>Ｍ-東豊中</t>
    <rPh sb="2" eb="3">
      <t>ヒガシ</t>
    </rPh>
    <rPh sb="3" eb="4">
      <t>ユタ</t>
    </rPh>
    <rPh sb="4" eb="5">
      <t>ナカ</t>
    </rPh>
    <phoneticPr fontId="2"/>
  </si>
  <si>
    <t>Ｍ-ときわ台</t>
    <rPh sb="5" eb="6">
      <t>ダイ</t>
    </rPh>
    <phoneticPr fontId="2"/>
  </si>
  <si>
    <t>Ｙ-能勢</t>
    <rPh sb="2" eb="4">
      <t>ノセ</t>
    </rPh>
    <phoneticPr fontId="2"/>
  </si>
  <si>
    <t>Ｇ-東能瀬</t>
    <rPh sb="2" eb="3">
      <t>ヒガシ</t>
    </rPh>
    <rPh sb="3" eb="4">
      <t>ノウ</t>
    </rPh>
    <rPh sb="4" eb="5">
      <t>セ</t>
    </rPh>
    <phoneticPr fontId="2"/>
  </si>
  <si>
    <t>Ｇ-西能瀬</t>
    <rPh sb="2" eb="3">
      <t>ニシ</t>
    </rPh>
    <rPh sb="3" eb="4">
      <t>ノウ</t>
    </rPh>
    <rPh sb="4" eb="5">
      <t>セ</t>
    </rPh>
    <phoneticPr fontId="2"/>
  </si>
  <si>
    <t>Ｇ-中能瀬</t>
    <rPh sb="2" eb="3">
      <t>ナカ</t>
    </rPh>
    <rPh sb="3" eb="4">
      <t>ノウ</t>
    </rPh>
    <rPh sb="4" eb="5">
      <t>セ</t>
    </rPh>
    <phoneticPr fontId="2"/>
  </si>
  <si>
    <t>Ｙ-箕面西</t>
    <rPh sb="2" eb="4">
      <t>ミノオ</t>
    </rPh>
    <rPh sb="4" eb="5">
      <t>セイ</t>
    </rPh>
    <phoneticPr fontId="2"/>
  </si>
  <si>
    <t>Ｙ-箕面中央</t>
    <rPh sb="2" eb="4">
      <t>ミノオ</t>
    </rPh>
    <rPh sb="4" eb="6">
      <t>チュウオウ</t>
    </rPh>
    <phoneticPr fontId="2"/>
  </si>
  <si>
    <t>Ｙ-阪急茨木</t>
    <rPh sb="2" eb="4">
      <t>ハンキュウ</t>
    </rPh>
    <rPh sb="4" eb="6">
      <t>イバラギ</t>
    </rPh>
    <phoneticPr fontId="2"/>
  </si>
  <si>
    <t>Ａ-光善寺</t>
    <rPh sb="2" eb="5">
      <t>コウゼンジ</t>
    </rPh>
    <phoneticPr fontId="2"/>
  </si>
  <si>
    <t>Ａ-枚方南</t>
    <rPh sb="2" eb="4">
      <t>ヒラカタ</t>
    </rPh>
    <rPh sb="4" eb="5">
      <t>ミナミ</t>
    </rPh>
    <phoneticPr fontId="2"/>
  </si>
  <si>
    <t>Ａ-寝屋川</t>
    <rPh sb="2" eb="5">
      <t>ネヤガワ</t>
    </rPh>
    <phoneticPr fontId="2"/>
  </si>
  <si>
    <t>Ａ-香里</t>
    <rPh sb="2" eb="3">
      <t>カオ</t>
    </rPh>
    <rPh sb="3" eb="4">
      <t>サト</t>
    </rPh>
    <phoneticPr fontId="2"/>
  </si>
  <si>
    <t>Ａ-三井</t>
    <rPh sb="2" eb="4">
      <t>ミツイ</t>
    </rPh>
    <phoneticPr fontId="2"/>
  </si>
  <si>
    <t>Ａ-寝屋川中央</t>
    <rPh sb="2" eb="5">
      <t>ネヤガワ</t>
    </rPh>
    <rPh sb="5" eb="7">
      <t>チュウオウ</t>
    </rPh>
    <phoneticPr fontId="2"/>
  </si>
  <si>
    <t>Ｙ-大和田</t>
    <rPh sb="2" eb="5">
      <t>オオワダ</t>
    </rPh>
    <phoneticPr fontId="2"/>
  </si>
  <si>
    <t>Ｙ-門真南</t>
    <rPh sb="2" eb="5">
      <t>カドマミナミ</t>
    </rPh>
    <phoneticPr fontId="2"/>
  </si>
  <si>
    <t>Ｙ-門真東</t>
    <rPh sb="2" eb="4">
      <t>カドマ</t>
    </rPh>
    <rPh sb="4" eb="5">
      <t>ヒガシ</t>
    </rPh>
    <phoneticPr fontId="2"/>
  </si>
  <si>
    <t>Ａ-八尾東</t>
    <rPh sb="2" eb="4">
      <t>ヤオ</t>
    </rPh>
    <rPh sb="4" eb="5">
      <t>ヒガシ</t>
    </rPh>
    <phoneticPr fontId="2"/>
  </si>
  <si>
    <t>Ａ-高安</t>
    <rPh sb="2" eb="4">
      <t>タカヤス</t>
    </rPh>
    <phoneticPr fontId="2"/>
  </si>
  <si>
    <t>Ａ-山本</t>
    <rPh sb="2" eb="4">
      <t>ヤマモト</t>
    </rPh>
    <phoneticPr fontId="2"/>
  </si>
  <si>
    <t>Ａ-北山本</t>
    <rPh sb="2" eb="3">
      <t>キタ</t>
    </rPh>
    <rPh sb="3" eb="5">
      <t>ヤマモト</t>
    </rPh>
    <phoneticPr fontId="2"/>
  </si>
  <si>
    <t>Ａ-八尾北</t>
    <rPh sb="2" eb="4">
      <t>ヤオ</t>
    </rPh>
    <rPh sb="4" eb="5">
      <t>キタ</t>
    </rPh>
    <phoneticPr fontId="2"/>
  </si>
  <si>
    <t>Ａ-八尾</t>
    <rPh sb="2" eb="4">
      <t>ヤオ</t>
    </rPh>
    <phoneticPr fontId="2"/>
  </si>
  <si>
    <t>Ａ-松原西</t>
    <rPh sb="2" eb="4">
      <t>マツバラ</t>
    </rPh>
    <rPh sb="4" eb="5">
      <t>ニシ</t>
    </rPh>
    <phoneticPr fontId="2"/>
  </si>
  <si>
    <t>Ａ-恵我之荘</t>
    <rPh sb="2" eb="3">
      <t>メグミ</t>
    </rPh>
    <rPh sb="3" eb="4">
      <t>ワレ</t>
    </rPh>
    <rPh sb="4" eb="5">
      <t>ノ</t>
    </rPh>
    <rPh sb="5" eb="6">
      <t>ソウ</t>
    </rPh>
    <phoneticPr fontId="2"/>
  </si>
  <si>
    <t>Ａ-羽曳ヶ丘</t>
    <rPh sb="2" eb="3">
      <t>ハネ</t>
    </rPh>
    <rPh sb="3" eb="4">
      <t>ヒキ</t>
    </rPh>
    <rPh sb="5" eb="6">
      <t>オカ</t>
    </rPh>
    <phoneticPr fontId="2"/>
  </si>
  <si>
    <t>Ｙ-古市</t>
    <rPh sb="2" eb="4">
      <t>フルイチ</t>
    </rPh>
    <phoneticPr fontId="2"/>
  </si>
  <si>
    <t>Ｙ-羽曳ヶ丘</t>
    <rPh sb="2" eb="3">
      <t>ハネ</t>
    </rPh>
    <rPh sb="3" eb="4">
      <t>ヒキ</t>
    </rPh>
    <rPh sb="5" eb="6">
      <t>オカ</t>
    </rPh>
    <phoneticPr fontId="2"/>
  </si>
  <si>
    <t>Ａ-藤井寺</t>
    <rPh sb="2" eb="5">
      <t>フジイデラ</t>
    </rPh>
    <phoneticPr fontId="2"/>
  </si>
  <si>
    <t>Ｙ-富田林</t>
    <rPh sb="2" eb="5">
      <t>トンダバヤシ</t>
    </rPh>
    <phoneticPr fontId="2"/>
  </si>
  <si>
    <t>Ｙ-喜志</t>
    <rPh sb="2" eb="3">
      <t>キ</t>
    </rPh>
    <rPh sb="3" eb="4">
      <t>ココロザシ</t>
    </rPh>
    <phoneticPr fontId="2"/>
  </si>
  <si>
    <t>Ｍ-狭山台</t>
    <rPh sb="2" eb="4">
      <t>サヤマ</t>
    </rPh>
    <rPh sb="4" eb="5">
      <t>ダイ</t>
    </rPh>
    <phoneticPr fontId="2"/>
  </si>
  <si>
    <t>Ａ-堺西</t>
    <rPh sb="2" eb="3">
      <t>サカイ</t>
    </rPh>
    <rPh sb="3" eb="4">
      <t>ニシ</t>
    </rPh>
    <phoneticPr fontId="2"/>
  </si>
  <si>
    <t>Ｙ-宿院</t>
    <rPh sb="2" eb="3">
      <t>ヤド</t>
    </rPh>
    <rPh sb="3" eb="4">
      <t>イン</t>
    </rPh>
    <phoneticPr fontId="2"/>
  </si>
  <si>
    <t>Ｙ-堺西</t>
    <rPh sb="2" eb="3">
      <t>サカイ</t>
    </rPh>
    <rPh sb="3" eb="4">
      <t>ニシ</t>
    </rPh>
    <phoneticPr fontId="2"/>
  </si>
  <si>
    <t>Ａ-深井</t>
    <rPh sb="2" eb="4">
      <t>フカイ</t>
    </rPh>
    <phoneticPr fontId="2"/>
  </si>
  <si>
    <t>Ｙ-八田荘</t>
    <rPh sb="2" eb="3">
      <t>ハチ</t>
    </rPh>
    <rPh sb="3" eb="4">
      <t>タ</t>
    </rPh>
    <rPh sb="4" eb="5">
      <t>ソウ</t>
    </rPh>
    <phoneticPr fontId="2"/>
  </si>
  <si>
    <t>Ｙ-泉北泉ヶ丘</t>
    <rPh sb="2" eb="3">
      <t>イズミ</t>
    </rPh>
    <rPh sb="3" eb="4">
      <t>キタ</t>
    </rPh>
    <rPh sb="4" eb="5">
      <t>イズミ</t>
    </rPh>
    <rPh sb="6" eb="7">
      <t>オカ</t>
    </rPh>
    <phoneticPr fontId="2"/>
  </si>
  <si>
    <t>Ｙ-深井</t>
    <rPh sb="2" eb="4">
      <t>フカイ</t>
    </rPh>
    <phoneticPr fontId="2"/>
  </si>
  <si>
    <t>Ｍ-北野田</t>
    <rPh sb="2" eb="3">
      <t>キタ</t>
    </rPh>
    <rPh sb="3" eb="5">
      <t>ノダ</t>
    </rPh>
    <phoneticPr fontId="2"/>
  </si>
  <si>
    <t>Ｙ-白鷺</t>
    <rPh sb="2" eb="3">
      <t>シロ</t>
    </rPh>
    <rPh sb="3" eb="4">
      <t>サギ</t>
    </rPh>
    <phoneticPr fontId="2"/>
  </si>
  <si>
    <t>Ｙ-北野田</t>
    <rPh sb="2" eb="3">
      <t>キタ</t>
    </rPh>
    <rPh sb="3" eb="5">
      <t>ノダ</t>
    </rPh>
    <phoneticPr fontId="2"/>
  </si>
  <si>
    <t>Ａ-新金岡</t>
    <rPh sb="2" eb="3">
      <t>シン</t>
    </rPh>
    <rPh sb="3" eb="5">
      <t>カナオカ</t>
    </rPh>
    <phoneticPr fontId="2"/>
  </si>
  <si>
    <t>Ａ-美原</t>
    <rPh sb="2" eb="4">
      <t>ミハラ</t>
    </rPh>
    <phoneticPr fontId="2"/>
  </si>
  <si>
    <t>Ａ-泉大津</t>
    <rPh sb="2" eb="3">
      <t>イズミ</t>
    </rPh>
    <rPh sb="3" eb="5">
      <t>オオツ</t>
    </rPh>
    <phoneticPr fontId="2"/>
  </si>
  <si>
    <t>Ａ-高石</t>
    <rPh sb="2" eb="3">
      <t>タカ</t>
    </rPh>
    <rPh sb="3" eb="4">
      <t>イシ</t>
    </rPh>
    <phoneticPr fontId="2"/>
  </si>
  <si>
    <t>Ｍ-高石</t>
    <rPh sb="2" eb="3">
      <t>タカ</t>
    </rPh>
    <rPh sb="3" eb="4">
      <t>イシ</t>
    </rPh>
    <phoneticPr fontId="2"/>
  </si>
  <si>
    <t>Ｍ-高石東</t>
    <rPh sb="2" eb="3">
      <t>タカ</t>
    </rPh>
    <rPh sb="3" eb="4">
      <t>イシ</t>
    </rPh>
    <rPh sb="4" eb="5">
      <t>ヒガシ</t>
    </rPh>
    <phoneticPr fontId="2"/>
  </si>
  <si>
    <t>Ａ-春木</t>
    <rPh sb="2" eb="4">
      <t>ハルキ</t>
    </rPh>
    <phoneticPr fontId="2"/>
  </si>
  <si>
    <t>Ａ-岸和田</t>
    <rPh sb="2" eb="5">
      <t>キシワダ</t>
    </rPh>
    <phoneticPr fontId="2"/>
  </si>
  <si>
    <t>Ａ-岸和田山直</t>
    <rPh sb="2" eb="5">
      <t>キシワダ</t>
    </rPh>
    <rPh sb="5" eb="6">
      <t>ヤマ</t>
    </rPh>
    <rPh sb="6" eb="7">
      <t>ナオ</t>
    </rPh>
    <phoneticPr fontId="2"/>
  </si>
  <si>
    <t>Ａ-久米田</t>
    <rPh sb="2" eb="5">
      <t>クメダ</t>
    </rPh>
    <phoneticPr fontId="2"/>
  </si>
  <si>
    <t>Ａ-東岸和田</t>
    <rPh sb="2" eb="3">
      <t>ヒガシ</t>
    </rPh>
    <rPh sb="3" eb="6">
      <t>キシワダ</t>
    </rPh>
    <phoneticPr fontId="2"/>
  </si>
  <si>
    <t>Ｍ-春木</t>
    <rPh sb="2" eb="4">
      <t>ハルキ</t>
    </rPh>
    <phoneticPr fontId="2"/>
  </si>
  <si>
    <t>Ｍ-東岸和田･下松</t>
    <rPh sb="2" eb="3">
      <t>ヒガシ</t>
    </rPh>
    <rPh sb="3" eb="6">
      <t>キシワダ</t>
    </rPh>
    <rPh sb="7" eb="8">
      <t>シタ</t>
    </rPh>
    <rPh sb="8" eb="9">
      <t>マツ</t>
    </rPh>
    <phoneticPr fontId="2"/>
  </si>
  <si>
    <t>Ｍ-岸和田南</t>
    <rPh sb="2" eb="5">
      <t>キシワダ</t>
    </rPh>
    <rPh sb="5" eb="6">
      <t>ミナミ</t>
    </rPh>
    <phoneticPr fontId="2"/>
  </si>
  <si>
    <t>Ｙ-南佐野</t>
    <rPh sb="2" eb="3">
      <t>ミナミ</t>
    </rPh>
    <rPh sb="3" eb="5">
      <t>サノ</t>
    </rPh>
    <phoneticPr fontId="2"/>
  </si>
  <si>
    <t>Ｍ-和泉府中</t>
    <rPh sb="2" eb="3">
      <t>ワ</t>
    </rPh>
    <rPh sb="3" eb="4">
      <t>イズミ</t>
    </rPh>
    <rPh sb="4" eb="6">
      <t>フチュウ</t>
    </rPh>
    <phoneticPr fontId="2"/>
  </si>
  <si>
    <t>Ｍ-和泉</t>
    <rPh sb="2" eb="3">
      <t>ワ</t>
    </rPh>
    <rPh sb="3" eb="4">
      <t>イズミ</t>
    </rPh>
    <phoneticPr fontId="2"/>
  </si>
  <si>
    <t>Ａ-尾崎</t>
    <rPh sb="2" eb="3">
      <t>オ</t>
    </rPh>
    <rPh sb="3" eb="4">
      <t>サキ</t>
    </rPh>
    <phoneticPr fontId="2"/>
  </si>
  <si>
    <t>Ａ-箱作・岬</t>
    <rPh sb="2" eb="3">
      <t>ハコ</t>
    </rPh>
    <rPh sb="3" eb="4">
      <t>サク</t>
    </rPh>
    <rPh sb="5" eb="6">
      <t>ミサキ</t>
    </rPh>
    <phoneticPr fontId="2"/>
  </si>
  <si>
    <t>Ｇ-横山</t>
    <rPh sb="2" eb="4">
      <t>ヨコヤマ</t>
    </rPh>
    <phoneticPr fontId="2"/>
  </si>
  <si>
    <t>Ａ-都島</t>
    <rPh sb="2" eb="3">
      <t>ミヤコ</t>
    </rPh>
    <rPh sb="3" eb="4">
      <t>シマ</t>
    </rPh>
    <phoneticPr fontId="2"/>
  </si>
  <si>
    <t>あびこ中央</t>
    <rPh sb="3" eb="5">
      <t>チュウオウ</t>
    </rPh>
    <phoneticPr fontId="2"/>
  </si>
  <si>
    <t>Ａ-あびこ中央</t>
    <rPh sb="5" eb="7">
      <t>チュウオウ</t>
    </rPh>
    <phoneticPr fontId="2"/>
  </si>
  <si>
    <t>Ａ-くずは</t>
  </si>
  <si>
    <t>赤川</t>
    <rPh sb="0" eb="1">
      <t>アカ</t>
    </rPh>
    <rPh sb="1" eb="2">
      <t>カワ</t>
    </rPh>
    <phoneticPr fontId="2"/>
  </si>
  <si>
    <t>都島北</t>
    <rPh sb="0" eb="2">
      <t>ミヤコジマ</t>
    </rPh>
    <rPh sb="2" eb="3">
      <t>キタ</t>
    </rPh>
    <phoneticPr fontId="2"/>
  </si>
  <si>
    <t>Ｙ-赤川</t>
    <rPh sb="2" eb="3">
      <t>アカ</t>
    </rPh>
    <rPh sb="3" eb="4">
      <t>カワ</t>
    </rPh>
    <phoneticPr fontId="2"/>
  </si>
  <si>
    <t>Ｙ-都島北</t>
    <rPh sb="2" eb="3">
      <t>ミヤコ</t>
    </rPh>
    <rPh sb="3" eb="4">
      <t>シマ</t>
    </rPh>
    <rPh sb="4" eb="5">
      <t>キタ</t>
    </rPh>
    <phoneticPr fontId="2"/>
  </si>
  <si>
    <t>北畠</t>
    <phoneticPr fontId="2"/>
  </si>
  <si>
    <t>新聞折込広告基準</t>
    <phoneticPr fontId="3"/>
  </si>
  <si>
    <t>大阪市淀川区</t>
    <phoneticPr fontId="2"/>
  </si>
  <si>
    <t>大阪市東淀川区</t>
    <phoneticPr fontId="2"/>
  </si>
  <si>
    <t>市岡</t>
    <rPh sb="0" eb="2">
      <t>イチオカ</t>
    </rPh>
    <phoneticPr fontId="2"/>
  </si>
  <si>
    <t>長居公園</t>
    <rPh sb="0" eb="2">
      <t>ナガイ</t>
    </rPh>
    <rPh sb="2" eb="4">
      <t>コウエン</t>
    </rPh>
    <phoneticPr fontId="2"/>
  </si>
  <si>
    <t>長居南</t>
    <rPh sb="0" eb="2">
      <t>ナガイ</t>
    </rPh>
    <rPh sb="2" eb="3">
      <t>ミナミ</t>
    </rPh>
    <phoneticPr fontId="2"/>
  </si>
  <si>
    <t>西淀川</t>
    <rPh sb="0" eb="3">
      <t>ニシヨドガワ</t>
    </rPh>
    <phoneticPr fontId="2"/>
  </si>
  <si>
    <t>Ｙ-長居南</t>
    <rPh sb="2" eb="4">
      <t>ナガイ</t>
    </rPh>
    <rPh sb="4" eb="5">
      <t>ミナミ</t>
    </rPh>
    <phoneticPr fontId="2"/>
  </si>
  <si>
    <t>Ｙ-長居公園</t>
    <rPh sb="2" eb="4">
      <t>ナガイ</t>
    </rPh>
    <rPh sb="4" eb="6">
      <t>コウエン</t>
    </rPh>
    <phoneticPr fontId="2"/>
  </si>
  <si>
    <t>Ｎｏ．</t>
    <phoneticPr fontId="2"/>
  </si>
  <si>
    <t>大仙上野芝</t>
    <rPh sb="0" eb="2">
      <t>ダイセン</t>
    </rPh>
    <rPh sb="2" eb="5">
      <t>ウエノシバ</t>
    </rPh>
    <phoneticPr fontId="2"/>
  </si>
  <si>
    <t>Ｙ-大仙上野芝</t>
    <rPh sb="2" eb="4">
      <t>ダイセン</t>
    </rPh>
    <rPh sb="4" eb="7">
      <t>ウエノシバ</t>
    </rPh>
    <phoneticPr fontId="2"/>
  </si>
  <si>
    <t>Ｎｏ．</t>
    <phoneticPr fontId="2"/>
  </si>
  <si>
    <t>　</t>
    <phoneticPr fontId="2"/>
  </si>
  <si>
    <t xml:space="preserve"> </t>
    <phoneticPr fontId="2"/>
  </si>
  <si>
    <t>矢田湯里</t>
    <rPh sb="0" eb="2">
      <t>ヤタ</t>
    </rPh>
    <rPh sb="2" eb="3">
      <t>ユ</t>
    </rPh>
    <rPh sb="3" eb="4">
      <t>サト</t>
    </rPh>
    <phoneticPr fontId="2"/>
  </si>
  <si>
    <t>二色浜井原里</t>
    <rPh sb="0" eb="1">
      <t>ニ</t>
    </rPh>
    <rPh sb="1" eb="2">
      <t>ショク</t>
    </rPh>
    <rPh sb="2" eb="3">
      <t>ハマ</t>
    </rPh>
    <rPh sb="3" eb="4">
      <t>イ</t>
    </rPh>
    <rPh sb="4" eb="5">
      <t>ハラ</t>
    </rPh>
    <rPh sb="5" eb="6">
      <t>サト</t>
    </rPh>
    <phoneticPr fontId="2"/>
  </si>
  <si>
    <t>Ｍ-初芝</t>
    <rPh sb="2" eb="3">
      <t>ハツ</t>
    </rPh>
    <rPh sb="3" eb="4">
      <t>シバ</t>
    </rPh>
    <phoneticPr fontId="2"/>
  </si>
  <si>
    <t>豊中南</t>
    <rPh sb="0" eb="2">
      <t>トヨナカ</t>
    </rPh>
    <rPh sb="2" eb="3">
      <t>ミナミ</t>
    </rPh>
    <phoneticPr fontId="2"/>
  </si>
  <si>
    <t>Ａ-豊中南</t>
    <rPh sb="2" eb="4">
      <t>トヨナカ</t>
    </rPh>
    <rPh sb="4" eb="5">
      <t>ミナミ</t>
    </rPh>
    <phoneticPr fontId="2"/>
  </si>
  <si>
    <t>服部天神</t>
    <rPh sb="0" eb="2">
      <t>ハットリ</t>
    </rPh>
    <rPh sb="2" eb="4">
      <t>テンジン</t>
    </rPh>
    <phoneticPr fontId="2"/>
  </si>
  <si>
    <t>南いずみ中央</t>
    <rPh sb="0" eb="1">
      <t>ミナミ</t>
    </rPh>
    <rPh sb="4" eb="6">
      <t>チュウオウ</t>
    </rPh>
    <phoneticPr fontId="2"/>
  </si>
  <si>
    <t>弥刀</t>
    <rPh sb="0" eb="2">
      <t>ミト</t>
    </rPh>
    <phoneticPr fontId="2"/>
  </si>
  <si>
    <t>淀川西</t>
    <rPh sb="0" eb="2">
      <t>ヨドガワ</t>
    </rPh>
    <rPh sb="2" eb="3">
      <t>ニシ</t>
    </rPh>
    <phoneticPr fontId="2"/>
  </si>
  <si>
    <t>Ｍ-淀川西</t>
    <rPh sb="2" eb="4">
      <t>ヨドガワ</t>
    </rPh>
    <rPh sb="4" eb="5">
      <t>ニシ</t>
    </rPh>
    <phoneticPr fontId="2"/>
  </si>
  <si>
    <t>Ａ-服部天神</t>
    <rPh sb="2" eb="4">
      <t>ハットリ</t>
    </rPh>
    <rPh sb="4" eb="6">
      <t>テンジン</t>
    </rPh>
    <phoneticPr fontId="2"/>
  </si>
  <si>
    <t>Ｍ-美原</t>
    <rPh sb="2" eb="4">
      <t>ミハラ</t>
    </rPh>
    <phoneticPr fontId="2"/>
  </si>
  <si>
    <t>守口大日</t>
    <rPh sb="0" eb="2">
      <t>モリグチ</t>
    </rPh>
    <rPh sb="2" eb="4">
      <t>ダイニチ</t>
    </rPh>
    <phoneticPr fontId="2"/>
  </si>
  <si>
    <t>藤井寺市</t>
    <phoneticPr fontId="2"/>
  </si>
  <si>
    <t>住之江中央</t>
    <rPh sb="0" eb="3">
      <t>スミノエ</t>
    </rPh>
    <rPh sb="3" eb="5">
      <t>チュウオウ</t>
    </rPh>
    <phoneticPr fontId="2"/>
  </si>
  <si>
    <t>咲洲南港</t>
    <rPh sb="0" eb="1">
      <t>サキ</t>
    </rPh>
    <rPh sb="1" eb="2">
      <t>ス</t>
    </rPh>
    <rPh sb="2" eb="4">
      <t>ナンコウ</t>
    </rPh>
    <phoneticPr fontId="2"/>
  </si>
  <si>
    <t>布施深江</t>
    <rPh sb="0" eb="2">
      <t>フセ</t>
    </rPh>
    <rPh sb="2" eb="4">
      <t>フカエ</t>
    </rPh>
    <phoneticPr fontId="2"/>
  </si>
  <si>
    <t>Ｍ-布施深江</t>
    <rPh sb="2" eb="4">
      <t>フセ</t>
    </rPh>
    <rPh sb="4" eb="6">
      <t>フカエ</t>
    </rPh>
    <phoneticPr fontId="2"/>
  </si>
  <si>
    <t>苅田</t>
    <rPh sb="0" eb="2">
      <t>カリタ</t>
    </rPh>
    <phoneticPr fontId="2"/>
  </si>
  <si>
    <t>東石切</t>
    <rPh sb="1" eb="3">
      <t>イシキリ</t>
    </rPh>
    <phoneticPr fontId="2"/>
  </si>
  <si>
    <t>橋本水間</t>
    <rPh sb="2" eb="4">
      <t>ミズマ</t>
    </rPh>
    <phoneticPr fontId="2"/>
  </si>
  <si>
    <t>Ｙ-守口大日</t>
    <rPh sb="2" eb="4">
      <t>モリグチ</t>
    </rPh>
    <rPh sb="4" eb="6">
      <t>ダイニチ</t>
    </rPh>
    <phoneticPr fontId="2"/>
  </si>
  <si>
    <t>Ｙ-住之江中央</t>
    <rPh sb="2" eb="5">
      <t>スミノエ</t>
    </rPh>
    <rPh sb="5" eb="7">
      <t>チュウオウ</t>
    </rPh>
    <phoneticPr fontId="2"/>
  </si>
  <si>
    <t>八尾久宝寺西</t>
    <rPh sb="0" eb="2">
      <t>ヤオ</t>
    </rPh>
    <rPh sb="2" eb="5">
      <t>キュウホウジ</t>
    </rPh>
    <rPh sb="5" eb="6">
      <t>ニシ</t>
    </rPh>
    <phoneticPr fontId="2"/>
  </si>
  <si>
    <t>八尾久宝寺</t>
    <rPh sb="0" eb="2">
      <t>ヤオ</t>
    </rPh>
    <rPh sb="2" eb="5">
      <t>キュウホウジ</t>
    </rPh>
    <phoneticPr fontId="2"/>
  </si>
  <si>
    <t>西天満</t>
    <rPh sb="0" eb="1">
      <t>ニシ</t>
    </rPh>
    <rPh sb="1" eb="3">
      <t>テンマ</t>
    </rPh>
    <phoneticPr fontId="2"/>
  </si>
  <si>
    <t>東高槻</t>
    <rPh sb="0" eb="1">
      <t>ヒガシ</t>
    </rPh>
    <rPh sb="1" eb="3">
      <t>タカツキ</t>
    </rPh>
    <phoneticPr fontId="2"/>
  </si>
  <si>
    <t>Ａ-東高槻</t>
    <rPh sb="2" eb="3">
      <t>ヒガシ</t>
    </rPh>
    <rPh sb="3" eb="5">
      <t>タカツキ</t>
    </rPh>
    <phoneticPr fontId="2"/>
  </si>
  <si>
    <t>桜井畑町</t>
    <rPh sb="0" eb="2">
      <t>サクライ</t>
    </rPh>
    <rPh sb="2" eb="4">
      <t>ハタマチ</t>
    </rPh>
    <phoneticPr fontId="2"/>
  </si>
  <si>
    <t>Ｍ-桜井畑町</t>
    <rPh sb="2" eb="4">
      <t>サクライ</t>
    </rPh>
    <rPh sb="4" eb="6">
      <t>ハタマチ</t>
    </rPh>
    <phoneticPr fontId="2"/>
  </si>
  <si>
    <t>島本町上牧</t>
    <rPh sb="0" eb="1">
      <t>シマ</t>
    </rPh>
    <rPh sb="1" eb="3">
      <t>ホンマチ</t>
    </rPh>
    <rPh sb="3" eb="4">
      <t>ウエ</t>
    </rPh>
    <rPh sb="4" eb="5">
      <t>マキ</t>
    </rPh>
    <phoneticPr fontId="2"/>
  </si>
  <si>
    <t>東成</t>
    <rPh sb="0" eb="2">
      <t>ヒガシナリ</t>
    </rPh>
    <phoneticPr fontId="2"/>
  </si>
  <si>
    <t>Ｍ-東成</t>
    <rPh sb="2" eb="4">
      <t>ヒガシナリ</t>
    </rPh>
    <phoneticPr fontId="2"/>
  </si>
  <si>
    <t>牧野南</t>
    <rPh sb="0" eb="2">
      <t>マキノ</t>
    </rPh>
    <rPh sb="2" eb="3">
      <t>ミナミ</t>
    </rPh>
    <phoneticPr fontId="2"/>
  </si>
  <si>
    <t>富田南</t>
    <rPh sb="0" eb="2">
      <t>トミタ</t>
    </rPh>
    <rPh sb="2" eb="3">
      <t>ミナミ</t>
    </rPh>
    <phoneticPr fontId="2"/>
  </si>
  <si>
    <t>江坂西</t>
    <rPh sb="0" eb="2">
      <t>エサカ</t>
    </rPh>
    <rPh sb="2" eb="3">
      <t>ニシ</t>
    </rPh>
    <phoneticPr fontId="2"/>
  </si>
  <si>
    <t>橋本水間</t>
    <rPh sb="0" eb="2">
      <t>ハシモト</t>
    </rPh>
    <rPh sb="2" eb="4">
      <t>ミズマ</t>
    </rPh>
    <phoneticPr fontId="2"/>
  </si>
  <si>
    <t>十三・塚本</t>
    <rPh sb="0" eb="2">
      <t>ジュウソウ</t>
    </rPh>
    <rPh sb="3" eb="5">
      <t>ツカモト</t>
    </rPh>
    <phoneticPr fontId="2"/>
  </si>
  <si>
    <t>Ｍ-江坂西</t>
    <rPh sb="2" eb="4">
      <t>エサカ</t>
    </rPh>
    <rPh sb="4" eb="5">
      <t>ニシ</t>
    </rPh>
    <phoneticPr fontId="2"/>
  </si>
  <si>
    <t>十三東･新大阪</t>
    <rPh sb="0" eb="2">
      <t>ジュウソウ</t>
    </rPh>
    <rPh sb="2" eb="3">
      <t>ヒガシ</t>
    </rPh>
    <rPh sb="4" eb="7">
      <t>シンオオサカ</t>
    </rPh>
    <phoneticPr fontId="2"/>
  </si>
  <si>
    <t>Ｙ-衣摺</t>
    <rPh sb="2" eb="4">
      <t>キズリ</t>
    </rPh>
    <phoneticPr fontId="2"/>
  </si>
  <si>
    <t>Ｍ-富田南</t>
    <rPh sb="2" eb="4">
      <t>トミタ</t>
    </rPh>
    <rPh sb="4" eb="5">
      <t>ミナミ</t>
    </rPh>
    <phoneticPr fontId="2"/>
  </si>
  <si>
    <t>Ａ-ひょうたん山</t>
    <rPh sb="7" eb="8">
      <t>ヤマ</t>
    </rPh>
    <phoneticPr fontId="2"/>
  </si>
  <si>
    <t>みなと</t>
    <phoneticPr fontId="2"/>
  </si>
  <si>
    <t>Ｍ-みなと</t>
    <phoneticPr fontId="2"/>
  </si>
  <si>
    <t>杉本町・あびこ</t>
    <rPh sb="0" eb="2">
      <t>スギモト</t>
    </rPh>
    <rPh sb="2" eb="3">
      <t>マチ</t>
    </rPh>
    <phoneticPr fontId="2"/>
  </si>
  <si>
    <t>北畠・播磨町</t>
    <rPh sb="0" eb="2">
      <t>キタハタ</t>
    </rPh>
    <rPh sb="3" eb="6">
      <t>ハリマチョウ</t>
    </rPh>
    <phoneticPr fontId="2"/>
  </si>
  <si>
    <t>高麗橋</t>
    <rPh sb="0" eb="3">
      <t>コウライバシ</t>
    </rPh>
    <phoneticPr fontId="2"/>
  </si>
  <si>
    <t>高殿・大宮</t>
    <rPh sb="0" eb="1">
      <t>タカ</t>
    </rPh>
    <rPh sb="1" eb="2">
      <t>ドノ</t>
    </rPh>
    <rPh sb="3" eb="5">
      <t>オオミヤ</t>
    </rPh>
    <phoneticPr fontId="2"/>
  </si>
  <si>
    <t>茨木駅前</t>
    <rPh sb="0" eb="2">
      <t>イバラギ</t>
    </rPh>
    <rPh sb="2" eb="4">
      <t>エキマエ</t>
    </rPh>
    <phoneticPr fontId="2"/>
  </si>
  <si>
    <t>Ｙ-ﾛｰｽﾞﾀｳﾝ</t>
  </si>
  <si>
    <t>Ｙ-このはな</t>
  </si>
  <si>
    <t>茨木桜通</t>
    <rPh sb="0" eb="2">
      <t>イバラギ</t>
    </rPh>
    <rPh sb="2" eb="3">
      <t>サクラ</t>
    </rPh>
    <rPh sb="3" eb="4">
      <t>ドオ</t>
    </rPh>
    <phoneticPr fontId="2"/>
  </si>
  <si>
    <t>Ｍ-北畠･播磨町</t>
    <rPh sb="2" eb="3">
      <t>キタ</t>
    </rPh>
    <rPh sb="3" eb="4">
      <t>ハタ</t>
    </rPh>
    <rPh sb="5" eb="8">
      <t>ハリマチョウ</t>
    </rPh>
    <phoneticPr fontId="2"/>
  </si>
  <si>
    <t>Ｙ-茨木桜通</t>
    <rPh sb="2" eb="4">
      <t>イバラギ</t>
    </rPh>
    <rPh sb="4" eb="5">
      <t>サクラ</t>
    </rPh>
    <rPh sb="5" eb="6">
      <t>ドオ</t>
    </rPh>
    <phoneticPr fontId="2"/>
  </si>
  <si>
    <t>箕面東･彩都</t>
    <rPh sb="0" eb="2">
      <t>ミノオ</t>
    </rPh>
    <rPh sb="2" eb="3">
      <t>ヒガシ</t>
    </rPh>
    <rPh sb="4" eb="6">
      <t>サイト</t>
    </rPh>
    <phoneticPr fontId="2"/>
  </si>
  <si>
    <t>高槻北･駅前</t>
    <rPh sb="0" eb="2">
      <t>タカツキ</t>
    </rPh>
    <rPh sb="2" eb="3">
      <t>キタ</t>
    </rPh>
    <rPh sb="4" eb="6">
      <t>エキマエ</t>
    </rPh>
    <phoneticPr fontId="2"/>
  </si>
  <si>
    <t>Ｙ-箕面東･彩都</t>
    <rPh sb="2" eb="4">
      <t>ミノオ</t>
    </rPh>
    <rPh sb="4" eb="5">
      <t>ヒガシ</t>
    </rPh>
    <rPh sb="6" eb="8">
      <t>サイト</t>
    </rPh>
    <phoneticPr fontId="2"/>
  </si>
  <si>
    <t>八丁畷・島本</t>
    <rPh sb="0" eb="1">
      <t>ハチ</t>
    </rPh>
    <rPh sb="4" eb="6">
      <t>シマモト</t>
    </rPh>
    <phoneticPr fontId="2"/>
  </si>
  <si>
    <t>藤井寺高鷲南</t>
    <rPh sb="0" eb="2">
      <t>フジイ</t>
    </rPh>
    <rPh sb="2" eb="3">
      <t>デラ</t>
    </rPh>
    <rPh sb="3" eb="5">
      <t>タカワシ</t>
    </rPh>
    <rPh sb="5" eb="6">
      <t>ミナミ</t>
    </rPh>
    <phoneticPr fontId="2"/>
  </si>
  <si>
    <t>藤井寺北高鷲北</t>
    <rPh sb="0" eb="3">
      <t>フジイデラ</t>
    </rPh>
    <rPh sb="3" eb="4">
      <t>キタ</t>
    </rPh>
    <rPh sb="4" eb="6">
      <t>タカワシ</t>
    </rPh>
    <rPh sb="6" eb="7">
      <t>キタ</t>
    </rPh>
    <phoneticPr fontId="2"/>
  </si>
  <si>
    <t>福田･八田荘</t>
    <rPh sb="0" eb="2">
      <t>フクダ</t>
    </rPh>
    <rPh sb="3" eb="5">
      <t>ハッタ</t>
    </rPh>
    <rPh sb="5" eb="6">
      <t>ソウ</t>
    </rPh>
    <phoneticPr fontId="2"/>
  </si>
  <si>
    <t>泉大津北</t>
    <rPh sb="0" eb="3">
      <t>イズミオオツ</t>
    </rPh>
    <rPh sb="3" eb="4">
      <t>キタ</t>
    </rPh>
    <phoneticPr fontId="2"/>
  </si>
  <si>
    <t>津之江</t>
    <rPh sb="0" eb="3">
      <t>ツノエ</t>
    </rPh>
    <phoneticPr fontId="2"/>
  </si>
  <si>
    <t>学研星田</t>
    <rPh sb="0" eb="2">
      <t>ガッケン</t>
    </rPh>
    <rPh sb="2" eb="4">
      <t>ホシダ</t>
    </rPh>
    <phoneticPr fontId="2"/>
  </si>
  <si>
    <t>Ｙ-茨木東</t>
    <rPh sb="2" eb="4">
      <t>イバラギ</t>
    </rPh>
    <rPh sb="4" eb="5">
      <t>ヒガシ</t>
    </rPh>
    <phoneticPr fontId="2"/>
  </si>
  <si>
    <t>Ｍ-香里園</t>
    <rPh sb="2" eb="3">
      <t>カオ</t>
    </rPh>
    <rPh sb="3" eb="4">
      <t>サト</t>
    </rPh>
    <rPh sb="4" eb="5">
      <t>エン</t>
    </rPh>
    <phoneticPr fontId="2"/>
  </si>
  <si>
    <t>Ａ-新石切</t>
    <rPh sb="2" eb="3">
      <t>シン</t>
    </rPh>
    <rPh sb="3" eb="5">
      <t>イシキリ</t>
    </rPh>
    <phoneticPr fontId="2"/>
  </si>
  <si>
    <t>Ｙ-弥刀</t>
    <rPh sb="2" eb="4">
      <t>ミト</t>
    </rPh>
    <phoneticPr fontId="2"/>
  </si>
  <si>
    <t>Ｙ-富田中央</t>
    <rPh sb="2" eb="4">
      <t>トミタ</t>
    </rPh>
    <rPh sb="4" eb="6">
      <t>チュウオウ</t>
    </rPh>
    <phoneticPr fontId="2"/>
  </si>
  <si>
    <t>Ｙ-富田東部</t>
    <rPh sb="2" eb="4">
      <t>トミタ</t>
    </rPh>
    <rPh sb="4" eb="6">
      <t>トウブ</t>
    </rPh>
    <phoneticPr fontId="2"/>
  </si>
  <si>
    <t>光明池･桃山台</t>
    <rPh sb="0" eb="3">
      <t>コウミョウイケ</t>
    </rPh>
    <rPh sb="4" eb="7">
      <t>モモヤマダイ</t>
    </rPh>
    <phoneticPr fontId="2"/>
  </si>
  <si>
    <t>瑞光上新庄</t>
    <rPh sb="0" eb="2">
      <t>ズイコウ</t>
    </rPh>
    <rPh sb="2" eb="5">
      <t>カミシンジョウ</t>
    </rPh>
    <phoneticPr fontId="2"/>
  </si>
  <si>
    <t>Ｍ-瑞光上新庄</t>
    <rPh sb="2" eb="4">
      <t>ズイコウ</t>
    </rPh>
    <rPh sb="4" eb="7">
      <t>カミシンジョウ</t>
    </rPh>
    <phoneticPr fontId="2"/>
  </si>
  <si>
    <t>本　　　　 社    Tel   078-990-1555   Fax   078-990-1500</t>
    <rPh sb="0" eb="1">
      <t>ホン</t>
    </rPh>
    <rPh sb="6" eb="7">
      <t>シャ</t>
    </rPh>
    <phoneticPr fontId="2"/>
  </si>
  <si>
    <t>桃谷寺田町</t>
    <rPh sb="0" eb="2">
      <t>モモタニ</t>
    </rPh>
    <rPh sb="2" eb="5">
      <t>テラダチョウ</t>
    </rPh>
    <phoneticPr fontId="2"/>
  </si>
  <si>
    <t>Ｍ-桃谷寺田町</t>
    <rPh sb="2" eb="4">
      <t>モモダニ</t>
    </rPh>
    <rPh sb="4" eb="7">
      <t>テラダチョウ</t>
    </rPh>
    <phoneticPr fontId="2"/>
  </si>
  <si>
    <t>Ｍ-枚方</t>
    <rPh sb="2" eb="4">
      <t>ヒラカタ</t>
    </rPh>
    <phoneticPr fontId="2"/>
  </si>
  <si>
    <t>島本町</t>
    <rPh sb="0" eb="2">
      <t>シマモト</t>
    </rPh>
    <rPh sb="2" eb="3">
      <t>マチ</t>
    </rPh>
    <phoneticPr fontId="2"/>
  </si>
  <si>
    <t>上牧</t>
    <rPh sb="0" eb="2">
      <t>カンマキ</t>
    </rPh>
    <phoneticPr fontId="2"/>
  </si>
  <si>
    <t>東平野</t>
    <rPh sb="0" eb="1">
      <t>ヒガシ</t>
    </rPh>
    <rPh sb="1" eb="3">
      <t>ヒラノ</t>
    </rPh>
    <phoneticPr fontId="2"/>
  </si>
  <si>
    <t>千里丘</t>
    <rPh sb="0" eb="3">
      <t>センリオカ</t>
    </rPh>
    <phoneticPr fontId="2"/>
  </si>
  <si>
    <t>くずはＲＴ</t>
    <phoneticPr fontId="2"/>
  </si>
  <si>
    <t>野江関目</t>
    <rPh sb="0" eb="2">
      <t>ノエ</t>
    </rPh>
    <rPh sb="2" eb="4">
      <t>セキメ</t>
    </rPh>
    <phoneticPr fontId="2"/>
  </si>
  <si>
    <t>Ｍ-光明池･桃山台</t>
    <rPh sb="2" eb="5">
      <t>コウミョウイケ</t>
    </rPh>
    <rPh sb="6" eb="8">
      <t>モモヤマ</t>
    </rPh>
    <rPh sb="8" eb="9">
      <t>ダイ</t>
    </rPh>
    <phoneticPr fontId="2"/>
  </si>
  <si>
    <t>城東北</t>
    <rPh sb="0" eb="2">
      <t>ジョウトウ</t>
    </rPh>
    <rPh sb="2" eb="3">
      <t>キタ</t>
    </rPh>
    <phoneticPr fontId="2"/>
  </si>
  <si>
    <t>Ａ-城東北</t>
    <rPh sb="2" eb="4">
      <t>ジョウトウ</t>
    </rPh>
    <rPh sb="4" eb="5">
      <t>キタ</t>
    </rPh>
    <phoneticPr fontId="2"/>
  </si>
  <si>
    <t>上町</t>
    <rPh sb="0" eb="1">
      <t>ウエ</t>
    </rPh>
    <rPh sb="1" eb="2">
      <t>マチ</t>
    </rPh>
    <phoneticPr fontId="2"/>
  </si>
  <si>
    <t>八尾西</t>
    <rPh sb="0" eb="2">
      <t>ヤオ</t>
    </rPh>
    <rPh sb="2" eb="3">
      <t>ニシ</t>
    </rPh>
    <phoneticPr fontId="2"/>
  </si>
  <si>
    <t>Ａ-八尾西</t>
    <rPh sb="2" eb="4">
      <t>ヤオ</t>
    </rPh>
    <rPh sb="4" eb="5">
      <t>ニシ</t>
    </rPh>
    <phoneticPr fontId="2"/>
  </si>
  <si>
    <t>近鉄八尾</t>
    <rPh sb="0" eb="2">
      <t>キンテツ</t>
    </rPh>
    <rPh sb="2" eb="4">
      <t>ヤオ</t>
    </rPh>
    <phoneticPr fontId="2"/>
  </si>
  <si>
    <t>小阪･布施</t>
    <rPh sb="0" eb="2">
      <t>コサカ</t>
    </rPh>
    <rPh sb="3" eb="5">
      <t>フセ</t>
    </rPh>
    <phoneticPr fontId="2"/>
  </si>
  <si>
    <t>Ｙ-高槻</t>
  </si>
  <si>
    <t>Ｍ-深沢下田部</t>
  </si>
  <si>
    <t>Ｍ-高槻北</t>
  </si>
  <si>
    <t>Ｍ-高槻南</t>
  </si>
  <si>
    <t>Ｍ-高槻</t>
  </si>
  <si>
    <t>Ａ-千里桃山台</t>
    <rPh sb="2" eb="4">
      <t>センリ</t>
    </rPh>
    <rPh sb="4" eb="7">
      <t>モモヤマダイ</t>
    </rPh>
    <phoneticPr fontId="2"/>
  </si>
  <si>
    <t>Ａ-千里山</t>
    <rPh sb="2" eb="5">
      <t>センリヤマ</t>
    </rPh>
    <phoneticPr fontId="2"/>
  </si>
  <si>
    <t>Ａ-東吹田</t>
    <rPh sb="2" eb="3">
      <t>ヒガシ</t>
    </rPh>
    <rPh sb="3" eb="5">
      <t>スイタ</t>
    </rPh>
    <phoneticPr fontId="2"/>
  </si>
  <si>
    <t>大阪府エリア別資料表</t>
    <rPh sb="0" eb="2">
      <t>オオサカ</t>
    </rPh>
    <rPh sb="2" eb="3">
      <t>フ</t>
    </rPh>
    <rPh sb="6" eb="7">
      <t>ベツ</t>
    </rPh>
    <rPh sb="7" eb="9">
      <t>シリョウ</t>
    </rPh>
    <rPh sb="9" eb="10">
      <t>ヒョウ</t>
    </rPh>
    <phoneticPr fontId="2"/>
  </si>
  <si>
    <t>大阪府折込資料表</t>
  </si>
  <si>
    <t>大阪府折込資料表</t>
    <phoneticPr fontId="2"/>
  </si>
  <si>
    <t>古市今福鶴見</t>
    <rPh sb="0" eb="2">
      <t>フルイチ</t>
    </rPh>
    <rPh sb="2" eb="4">
      <t>イマフク</t>
    </rPh>
    <rPh sb="4" eb="6">
      <t>ツルミ</t>
    </rPh>
    <phoneticPr fontId="2"/>
  </si>
  <si>
    <t>大阪府折込資料表</t>
    <phoneticPr fontId="2"/>
  </si>
  <si>
    <t>Ｍ-古市今福鶴見</t>
    <rPh sb="2" eb="4">
      <t>フルイチ</t>
    </rPh>
    <rPh sb="4" eb="6">
      <t>イマフク</t>
    </rPh>
    <rPh sb="6" eb="8">
      <t>ツルミ</t>
    </rPh>
    <phoneticPr fontId="2"/>
  </si>
  <si>
    <t>羽曳野中央</t>
    <rPh sb="0" eb="3">
      <t>ハビキノ</t>
    </rPh>
    <rPh sb="3" eb="5">
      <t>チュウオウ</t>
    </rPh>
    <phoneticPr fontId="2"/>
  </si>
  <si>
    <t>Ａ-羽曳野中央</t>
    <rPh sb="2" eb="5">
      <t>ハビキノ</t>
    </rPh>
    <rPh sb="5" eb="7">
      <t>チュウオウ</t>
    </rPh>
    <phoneticPr fontId="2"/>
  </si>
  <si>
    <t>服部庄内</t>
    <rPh sb="0" eb="2">
      <t>ハットリ</t>
    </rPh>
    <rPh sb="2" eb="4">
      <t>ショウナイ</t>
    </rPh>
    <phoneticPr fontId="2"/>
  </si>
  <si>
    <t>緑丘･桜井谷</t>
    <rPh sb="3" eb="5">
      <t>サクライ</t>
    </rPh>
    <rPh sb="5" eb="6">
      <t>タニ</t>
    </rPh>
    <phoneticPr fontId="2"/>
  </si>
  <si>
    <t>Ｍ-八尾</t>
    <rPh sb="2" eb="4">
      <t>ヤオ</t>
    </rPh>
    <phoneticPr fontId="2"/>
  </si>
  <si>
    <t>枚方津田</t>
    <rPh sb="0" eb="2">
      <t>ヒラカタ</t>
    </rPh>
    <rPh sb="2" eb="3">
      <t>ツ</t>
    </rPh>
    <rPh sb="3" eb="4">
      <t>タ</t>
    </rPh>
    <phoneticPr fontId="2"/>
  </si>
  <si>
    <t>Ｙ-枚方津田</t>
    <rPh sb="2" eb="4">
      <t>ヒラカタ</t>
    </rPh>
    <rPh sb="4" eb="6">
      <t>ツダ</t>
    </rPh>
    <phoneticPr fontId="2"/>
  </si>
  <si>
    <t>阪急豊中</t>
    <rPh sb="0" eb="2">
      <t>ハンキュウ</t>
    </rPh>
    <rPh sb="2" eb="4">
      <t>トヨナカ</t>
    </rPh>
    <phoneticPr fontId="2"/>
  </si>
  <si>
    <t>千里丘北</t>
    <rPh sb="0" eb="2">
      <t>センリ</t>
    </rPh>
    <rPh sb="2" eb="3">
      <t>オカ</t>
    </rPh>
    <rPh sb="3" eb="4">
      <t>キタ</t>
    </rPh>
    <phoneticPr fontId="2"/>
  </si>
  <si>
    <t>Ａ-千里丘北</t>
    <rPh sb="2" eb="5">
      <t>センリオカ</t>
    </rPh>
    <rPh sb="5" eb="6">
      <t>キタ</t>
    </rPh>
    <phoneticPr fontId="2"/>
  </si>
  <si>
    <t>Ａ-千里丘東</t>
    <rPh sb="2" eb="5">
      <t>センリオカ</t>
    </rPh>
    <rPh sb="5" eb="6">
      <t>ヒガシ</t>
    </rPh>
    <phoneticPr fontId="2"/>
  </si>
  <si>
    <t>枚方長尾</t>
    <rPh sb="0" eb="2">
      <t>ヒラカタ</t>
    </rPh>
    <rPh sb="2" eb="4">
      <t>ナガオ</t>
    </rPh>
    <phoneticPr fontId="2"/>
  </si>
  <si>
    <t>野田･福島</t>
    <rPh sb="0" eb="2">
      <t>ノダ</t>
    </rPh>
    <rPh sb="3" eb="5">
      <t>フクシマ</t>
    </rPh>
    <phoneticPr fontId="2"/>
  </si>
  <si>
    <t>Ｙ-阿倍野</t>
    <rPh sb="2" eb="5">
      <t>アベノ</t>
    </rPh>
    <phoneticPr fontId="2"/>
  </si>
  <si>
    <t>Ｙ-東住吉今川</t>
    <rPh sb="2" eb="5">
      <t>ヒガシスミヨシ</t>
    </rPh>
    <rPh sb="5" eb="7">
      <t>イマガワ</t>
    </rPh>
    <phoneticPr fontId="2"/>
  </si>
  <si>
    <t>Ａ-鴻池北</t>
    <rPh sb="2" eb="4">
      <t>コウノイケ</t>
    </rPh>
    <rPh sb="4" eb="5">
      <t>キタ</t>
    </rPh>
    <phoneticPr fontId="2"/>
  </si>
  <si>
    <t>大阪府折込資料表</t>
    <phoneticPr fontId="2"/>
  </si>
  <si>
    <t>大阪府折込資料表</t>
    <phoneticPr fontId="2"/>
  </si>
  <si>
    <t>四条畷･忍ヶ丘</t>
    <rPh sb="0" eb="3">
      <t>シジョウナワテ</t>
    </rPh>
    <rPh sb="4" eb="5">
      <t>シノ</t>
    </rPh>
    <rPh sb="6" eb="7">
      <t>オカ</t>
    </rPh>
    <phoneticPr fontId="2"/>
  </si>
  <si>
    <t>Ａ-長居</t>
    <rPh sb="2" eb="4">
      <t>ナガイ</t>
    </rPh>
    <phoneticPr fontId="2"/>
  </si>
  <si>
    <t>北花田・東堺</t>
    <rPh sb="0" eb="3">
      <t>キタハナダ</t>
    </rPh>
    <rPh sb="4" eb="5">
      <t>ヒガシ</t>
    </rPh>
    <rPh sb="5" eb="6">
      <t>サカイ</t>
    </rPh>
    <phoneticPr fontId="2"/>
  </si>
  <si>
    <t>堺北・浅香山</t>
    <rPh sb="0" eb="1">
      <t>サカイ</t>
    </rPh>
    <rPh sb="1" eb="2">
      <t>キタ</t>
    </rPh>
    <rPh sb="3" eb="6">
      <t>アサカヤマ</t>
    </rPh>
    <phoneticPr fontId="2"/>
  </si>
  <si>
    <t>Ａ-北花田･東堺</t>
    <rPh sb="2" eb="5">
      <t>キタハナダ</t>
    </rPh>
    <rPh sb="6" eb="7">
      <t>ヒガシ</t>
    </rPh>
    <rPh sb="7" eb="8">
      <t>サカイ</t>
    </rPh>
    <phoneticPr fontId="2"/>
  </si>
  <si>
    <t>Ａ-堺北･浅香山</t>
    <rPh sb="2" eb="3">
      <t>サカイ</t>
    </rPh>
    <rPh sb="3" eb="4">
      <t>キタ</t>
    </rPh>
    <rPh sb="5" eb="8">
      <t>アサカヤマ</t>
    </rPh>
    <phoneticPr fontId="2"/>
  </si>
  <si>
    <t>レコード区分</t>
    <rPh sb="4" eb="6">
      <t>クブン</t>
    </rPh>
    <phoneticPr fontId="2"/>
  </si>
  <si>
    <t>販売店No</t>
    <rPh sb="0" eb="3">
      <t>ハンバイテン</t>
    </rPh>
    <phoneticPr fontId="2"/>
  </si>
  <si>
    <t>値</t>
    <rPh sb="0" eb="1">
      <t>アタイ</t>
    </rPh>
    <phoneticPr fontId="2"/>
  </si>
  <si>
    <t>春木忠岡</t>
    <rPh sb="0" eb="1">
      <t>ハル</t>
    </rPh>
    <rPh sb="1" eb="2">
      <t>キ</t>
    </rPh>
    <rPh sb="2" eb="4">
      <t>タダオカ</t>
    </rPh>
    <phoneticPr fontId="2"/>
  </si>
  <si>
    <t>Ａ-野田・福島</t>
    <rPh sb="2" eb="4">
      <t>ノダ</t>
    </rPh>
    <rPh sb="5" eb="7">
      <t>フクシマ</t>
    </rPh>
    <phoneticPr fontId="2"/>
  </si>
  <si>
    <t>Ａ-江坂東</t>
    <rPh sb="2" eb="4">
      <t>エサカ</t>
    </rPh>
    <rPh sb="4" eb="5">
      <t>ヒガシ</t>
    </rPh>
    <phoneticPr fontId="2"/>
  </si>
  <si>
    <t>Ａ-江坂西</t>
    <rPh sb="2" eb="4">
      <t>エサカ</t>
    </rPh>
    <rPh sb="4" eb="5">
      <t>ニシ</t>
    </rPh>
    <phoneticPr fontId="2"/>
  </si>
  <si>
    <t>Ａ-四条畷・忍ケ丘</t>
    <rPh sb="6" eb="7">
      <t>シノブ</t>
    </rPh>
    <rPh sb="8" eb="9">
      <t>オカ</t>
    </rPh>
    <phoneticPr fontId="2"/>
  </si>
  <si>
    <t>松原</t>
    <rPh sb="0" eb="2">
      <t>マツバラ</t>
    </rPh>
    <phoneticPr fontId="2"/>
  </si>
  <si>
    <t>茨木山手</t>
    <rPh sb="0" eb="2">
      <t>イバラギ</t>
    </rPh>
    <rPh sb="2" eb="4">
      <t>ヤマテ</t>
    </rPh>
    <phoneticPr fontId="2"/>
  </si>
  <si>
    <t>Ａ-茨木山手</t>
    <rPh sb="2" eb="4">
      <t>イバラギ</t>
    </rPh>
    <rPh sb="4" eb="6">
      <t>ヤマテ</t>
    </rPh>
    <phoneticPr fontId="2"/>
  </si>
  <si>
    <t>Ａ-門真中央</t>
    <rPh sb="2" eb="4">
      <t>カドマ</t>
    </rPh>
    <rPh sb="4" eb="6">
      <t>チュウオウ</t>
    </rPh>
    <phoneticPr fontId="2"/>
  </si>
  <si>
    <t>門真中央</t>
    <rPh sb="0" eb="2">
      <t>カドマ</t>
    </rPh>
    <rPh sb="2" eb="4">
      <t>チュウオウ</t>
    </rPh>
    <phoneticPr fontId="2"/>
  </si>
  <si>
    <t>Ｍ-都島</t>
    <rPh sb="2" eb="4">
      <t>ミヤコジマ</t>
    </rPh>
    <phoneticPr fontId="2"/>
  </si>
  <si>
    <t>Ｙ-四条畷・野崎北</t>
    <rPh sb="2" eb="5">
      <t>シジョウナワテ</t>
    </rPh>
    <rPh sb="6" eb="8">
      <t>ノザキ</t>
    </rPh>
    <rPh sb="8" eb="9">
      <t>キタ</t>
    </rPh>
    <phoneticPr fontId="2"/>
  </si>
  <si>
    <t>Ｙ-城東</t>
    <rPh sb="2" eb="4">
      <t>ジョウトウ</t>
    </rPh>
    <phoneticPr fontId="2"/>
  </si>
  <si>
    <t>100,10</t>
    <phoneticPr fontId="2"/>
  </si>
  <si>
    <t>100,20</t>
    <phoneticPr fontId="2"/>
  </si>
  <si>
    <t>100,30</t>
    <phoneticPr fontId="2"/>
  </si>
  <si>
    <t>100,40</t>
    <phoneticPr fontId="2"/>
  </si>
  <si>
    <t>100,50</t>
    <phoneticPr fontId="2"/>
  </si>
  <si>
    <t>100,60</t>
    <phoneticPr fontId="2"/>
  </si>
  <si>
    <t>100,70</t>
    <phoneticPr fontId="2"/>
  </si>
  <si>
    <t>100,80</t>
    <phoneticPr fontId="2"/>
  </si>
  <si>
    <t>100,90</t>
    <phoneticPr fontId="2"/>
  </si>
  <si>
    <t>100,100</t>
    <phoneticPr fontId="2"/>
  </si>
  <si>
    <t>100,110</t>
    <phoneticPr fontId="2"/>
  </si>
  <si>
    <t>100,120</t>
    <phoneticPr fontId="2"/>
  </si>
  <si>
    <t>100,130</t>
    <phoneticPr fontId="2"/>
  </si>
  <si>
    <t>100,140</t>
    <phoneticPr fontId="2"/>
  </si>
  <si>
    <t>100,150</t>
    <phoneticPr fontId="2"/>
  </si>
  <si>
    <t>100,160</t>
    <phoneticPr fontId="2"/>
  </si>
  <si>
    <t>100,170</t>
    <phoneticPr fontId="2"/>
  </si>
  <si>
    <t>100,180</t>
    <phoneticPr fontId="2"/>
  </si>
  <si>
    <t>100,190</t>
    <phoneticPr fontId="2"/>
  </si>
  <si>
    <t>100,200</t>
    <phoneticPr fontId="2"/>
  </si>
  <si>
    <t>100,210</t>
    <phoneticPr fontId="2"/>
  </si>
  <si>
    <t>100,220</t>
    <phoneticPr fontId="2"/>
  </si>
  <si>
    <t>100,230</t>
    <phoneticPr fontId="2"/>
  </si>
  <si>
    <t>100,240</t>
    <phoneticPr fontId="2"/>
  </si>
  <si>
    <t>200,310</t>
    <phoneticPr fontId="2"/>
  </si>
  <si>
    <t>200,320</t>
    <phoneticPr fontId="2"/>
  </si>
  <si>
    <t>200,330</t>
    <phoneticPr fontId="2"/>
  </si>
  <si>
    <t>200,340</t>
    <phoneticPr fontId="2"/>
  </si>
  <si>
    <t>200,350</t>
    <phoneticPr fontId="2"/>
  </si>
  <si>
    <t>200,360</t>
    <phoneticPr fontId="2"/>
  </si>
  <si>
    <t>200,370</t>
    <phoneticPr fontId="2"/>
  </si>
  <si>
    <t>200,380</t>
    <phoneticPr fontId="2"/>
  </si>
  <si>
    <t>200,390</t>
    <phoneticPr fontId="2"/>
  </si>
  <si>
    <t>300,410</t>
    <phoneticPr fontId="2"/>
  </si>
  <si>
    <t>300,420</t>
    <phoneticPr fontId="2"/>
  </si>
  <si>
    <t>300,430</t>
    <phoneticPr fontId="2"/>
  </si>
  <si>
    <t>300,440</t>
    <phoneticPr fontId="2"/>
  </si>
  <si>
    <t>300,450</t>
    <phoneticPr fontId="2"/>
  </si>
  <si>
    <t>300,460</t>
    <phoneticPr fontId="2"/>
  </si>
  <si>
    <t>300,470</t>
    <phoneticPr fontId="2"/>
  </si>
  <si>
    <t>300,480</t>
    <phoneticPr fontId="2"/>
  </si>
  <si>
    <t>300,490</t>
    <phoneticPr fontId="2"/>
  </si>
  <si>
    <t>300,500</t>
    <phoneticPr fontId="2"/>
  </si>
  <si>
    <t>300,510</t>
    <phoneticPr fontId="2"/>
  </si>
  <si>
    <t>300,520</t>
    <phoneticPr fontId="2"/>
  </si>
  <si>
    <t>300,530</t>
    <phoneticPr fontId="2"/>
  </si>
  <si>
    <t>300,540</t>
    <phoneticPr fontId="2"/>
  </si>
  <si>
    <t>300,550</t>
    <phoneticPr fontId="2"/>
  </si>
  <si>
    <t>300,560</t>
    <phoneticPr fontId="2"/>
  </si>
  <si>
    <t>300,570</t>
    <phoneticPr fontId="2"/>
  </si>
  <si>
    <t>400,610</t>
    <phoneticPr fontId="2"/>
  </si>
  <si>
    <t>400,620</t>
    <phoneticPr fontId="2"/>
  </si>
  <si>
    <t>400,630</t>
    <phoneticPr fontId="2"/>
  </si>
  <si>
    <t>400,640</t>
    <phoneticPr fontId="2"/>
  </si>
  <si>
    <t>400,650</t>
    <phoneticPr fontId="2"/>
  </si>
  <si>
    <t>400,660</t>
    <phoneticPr fontId="2"/>
  </si>
  <si>
    <t>400,670</t>
    <phoneticPr fontId="2"/>
  </si>
  <si>
    <t>500,710</t>
    <phoneticPr fontId="2"/>
  </si>
  <si>
    <t>500,720</t>
    <phoneticPr fontId="2"/>
  </si>
  <si>
    <t>500,730</t>
    <phoneticPr fontId="2"/>
  </si>
  <si>
    <t>500,740</t>
    <phoneticPr fontId="2"/>
  </si>
  <si>
    <t>500,750</t>
    <phoneticPr fontId="2"/>
  </si>
  <si>
    <t>500,760</t>
    <phoneticPr fontId="2"/>
  </si>
  <si>
    <t>500,770</t>
    <phoneticPr fontId="2"/>
  </si>
  <si>
    <t>500,780</t>
    <phoneticPr fontId="2"/>
  </si>
  <si>
    <t>500,790</t>
    <phoneticPr fontId="2"/>
  </si>
  <si>
    <t>500,800</t>
    <phoneticPr fontId="2"/>
  </si>
  <si>
    <t>100,20</t>
    <phoneticPr fontId="2"/>
  </si>
  <si>
    <t>100,50</t>
    <phoneticPr fontId="2"/>
  </si>
  <si>
    <t>100,160</t>
    <phoneticPr fontId="2"/>
  </si>
  <si>
    <t>200,340</t>
    <phoneticPr fontId="2"/>
  </si>
  <si>
    <t>500,780</t>
    <phoneticPr fontId="2"/>
  </si>
  <si>
    <t>Ａ-富田北</t>
    <rPh sb="2" eb="4">
      <t>トミタ</t>
    </rPh>
    <rPh sb="4" eb="5">
      <t>キタ</t>
    </rPh>
    <phoneticPr fontId="2"/>
  </si>
  <si>
    <t>高槻市</t>
    <phoneticPr fontId="2"/>
  </si>
  <si>
    <t>孔舎衙･野崎南</t>
    <rPh sb="0" eb="3">
      <t>クサカ</t>
    </rPh>
    <rPh sb="4" eb="6">
      <t>ノザキ</t>
    </rPh>
    <rPh sb="6" eb="7">
      <t>ミナミ</t>
    </rPh>
    <phoneticPr fontId="2"/>
  </si>
  <si>
    <t>大阪狭山</t>
    <rPh sb="0" eb="2">
      <t>オオサカ</t>
    </rPh>
    <rPh sb="2" eb="3">
      <t>セマ</t>
    </rPh>
    <rPh sb="3" eb="4">
      <t>ヤマ</t>
    </rPh>
    <phoneticPr fontId="2"/>
  </si>
  <si>
    <t>高井田北</t>
    <rPh sb="0" eb="3">
      <t>タカイダ</t>
    </rPh>
    <rPh sb="3" eb="4">
      <t>キタ</t>
    </rPh>
    <phoneticPr fontId="2"/>
  </si>
  <si>
    <t>Ａ-大阪狭山</t>
    <rPh sb="2" eb="4">
      <t>オオサカ</t>
    </rPh>
    <rPh sb="4" eb="6">
      <t>サヤマ</t>
    </rPh>
    <phoneticPr fontId="2"/>
  </si>
  <si>
    <t>Ｍ-城東</t>
    <rPh sb="2" eb="4">
      <t>ジョウトウ</t>
    </rPh>
    <phoneticPr fontId="2"/>
  </si>
  <si>
    <t>小阪北・八戸ノ里</t>
    <rPh sb="0" eb="2">
      <t>コサカ</t>
    </rPh>
    <rPh sb="2" eb="3">
      <t>キタ</t>
    </rPh>
    <phoneticPr fontId="2"/>
  </si>
  <si>
    <t>大池橋北</t>
    <rPh sb="0" eb="2">
      <t>オオイケ</t>
    </rPh>
    <rPh sb="2" eb="3">
      <t>バシ</t>
    </rPh>
    <rPh sb="3" eb="4">
      <t>キタ</t>
    </rPh>
    <phoneticPr fontId="2"/>
  </si>
  <si>
    <t>Ａ-大池橋北</t>
    <rPh sb="2" eb="4">
      <t>オオイケ</t>
    </rPh>
    <rPh sb="4" eb="5">
      <t>バシ</t>
    </rPh>
    <rPh sb="5" eb="6">
      <t>キタ</t>
    </rPh>
    <phoneticPr fontId="2"/>
  </si>
  <si>
    <t>枚方外大前</t>
    <rPh sb="0" eb="2">
      <t>ヒラカタ</t>
    </rPh>
    <rPh sb="2" eb="4">
      <t>ガイダイ</t>
    </rPh>
    <rPh sb="4" eb="5">
      <t>マエ</t>
    </rPh>
    <phoneticPr fontId="2"/>
  </si>
  <si>
    <t>Ａ-枚方外大前</t>
    <rPh sb="2" eb="4">
      <t>ヒラカタ</t>
    </rPh>
    <rPh sb="4" eb="6">
      <t>ガイダイ</t>
    </rPh>
    <rPh sb="6" eb="7">
      <t>マエ</t>
    </rPh>
    <phoneticPr fontId="2"/>
  </si>
  <si>
    <t>香里園駅前</t>
    <rPh sb="0" eb="2">
      <t>コオリ</t>
    </rPh>
    <rPh sb="2" eb="3">
      <t>エン</t>
    </rPh>
    <rPh sb="3" eb="5">
      <t>エキマエ</t>
    </rPh>
    <phoneticPr fontId="2"/>
  </si>
  <si>
    <t>Ａ-香里園駅前</t>
    <rPh sb="2" eb="4">
      <t>コオリ</t>
    </rPh>
    <rPh sb="4" eb="5">
      <t>エン</t>
    </rPh>
    <rPh sb="5" eb="7">
      <t>エキマエ</t>
    </rPh>
    <phoneticPr fontId="2"/>
  </si>
  <si>
    <t>英田・花園</t>
    <rPh sb="0" eb="2">
      <t>アカダ</t>
    </rPh>
    <rPh sb="3" eb="5">
      <t>ハナゾノ</t>
    </rPh>
    <phoneticPr fontId="2"/>
  </si>
  <si>
    <t>A-英田・花園</t>
    <rPh sb="2" eb="4">
      <t>アカダ</t>
    </rPh>
    <rPh sb="5" eb="7">
      <t>ハナゾノ</t>
    </rPh>
    <phoneticPr fontId="2"/>
  </si>
  <si>
    <t>鳥飼</t>
    <rPh sb="0" eb="2">
      <t>トリカイ</t>
    </rPh>
    <phoneticPr fontId="2"/>
  </si>
  <si>
    <t>Ａ-鳥飼</t>
    <rPh sb="2" eb="4">
      <t>トリカイ</t>
    </rPh>
    <phoneticPr fontId="2"/>
  </si>
  <si>
    <t>泉大津北東</t>
    <rPh sb="0" eb="3">
      <t>イズミオオツ</t>
    </rPh>
    <rPh sb="1" eb="3">
      <t>オオツ</t>
    </rPh>
    <rPh sb="3" eb="4">
      <t>キタ</t>
    </rPh>
    <rPh sb="4" eb="5">
      <t>ヒガシ</t>
    </rPh>
    <phoneticPr fontId="2"/>
  </si>
  <si>
    <t>Ｎ-四ツ橋</t>
    <rPh sb="2" eb="3">
      <t>ヨ</t>
    </rPh>
    <rPh sb="4" eb="5">
      <t>バシ</t>
    </rPh>
    <phoneticPr fontId="2"/>
  </si>
  <si>
    <t>牧野</t>
    <rPh sb="0" eb="2">
      <t>マキノ</t>
    </rPh>
    <phoneticPr fontId="2"/>
  </si>
  <si>
    <t>別府</t>
    <rPh sb="0" eb="2">
      <t>ベフ</t>
    </rPh>
    <phoneticPr fontId="2"/>
  </si>
  <si>
    <t>Ｙ-鳥飼</t>
    <rPh sb="2" eb="4">
      <t>トリカイ</t>
    </rPh>
    <phoneticPr fontId="2"/>
  </si>
  <si>
    <t>淡路・豊里</t>
    <rPh sb="0" eb="2">
      <t>アワジ</t>
    </rPh>
    <rPh sb="3" eb="5">
      <t>トヨサト</t>
    </rPh>
    <phoneticPr fontId="2"/>
  </si>
  <si>
    <t>Ａ-淡路・豊里</t>
    <rPh sb="2" eb="4">
      <t>アワジ</t>
    </rPh>
    <rPh sb="5" eb="6">
      <t>ユタ</t>
    </rPh>
    <rPh sb="6" eb="7">
      <t>サト</t>
    </rPh>
    <phoneticPr fontId="2"/>
  </si>
  <si>
    <t>諸福新田</t>
    <rPh sb="0" eb="1">
      <t>ショ</t>
    </rPh>
    <rPh sb="1" eb="2">
      <t>フク</t>
    </rPh>
    <rPh sb="2" eb="4">
      <t>シンデン</t>
    </rPh>
    <phoneticPr fontId="2"/>
  </si>
  <si>
    <t>Ａ-西淀川</t>
    <rPh sb="2" eb="5">
      <t>ニシヨドガワ</t>
    </rPh>
    <phoneticPr fontId="2"/>
  </si>
  <si>
    <t>箕面船場</t>
    <rPh sb="0" eb="2">
      <t>ミノオ</t>
    </rPh>
    <rPh sb="2" eb="4">
      <t>センバ</t>
    </rPh>
    <phoneticPr fontId="2"/>
  </si>
  <si>
    <t>箕面牧落</t>
    <rPh sb="0" eb="2">
      <t>ミノオ</t>
    </rPh>
    <rPh sb="2" eb="4">
      <t>マキオチ</t>
    </rPh>
    <phoneticPr fontId="2"/>
  </si>
  <si>
    <t>Ａ-箕面船場</t>
    <rPh sb="2" eb="4">
      <t>ミノオ</t>
    </rPh>
    <rPh sb="4" eb="6">
      <t>センバ</t>
    </rPh>
    <phoneticPr fontId="2"/>
  </si>
  <si>
    <t>Ａ-箕面牧落</t>
    <rPh sb="2" eb="4">
      <t>ミノオ</t>
    </rPh>
    <rPh sb="4" eb="6">
      <t>マキオチ</t>
    </rPh>
    <phoneticPr fontId="2"/>
  </si>
  <si>
    <t>服部・庄内</t>
    <rPh sb="0" eb="2">
      <t>ハットリ</t>
    </rPh>
    <rPh sb="3" eb="5">
      <t>ショウナイ</t>
    </rPh>
    <phoneticPr fontId="2"/>
  </si>
  <si>
    <t>Ｙ-服部・庄内</t>
    <rPh sb="2" eb="4">
      <t>ハットリ</t>
    </rPh>
    <rPh sb="5" eb="7">
      <t>ショウナイ</t>
    </rPh>
    <phoneticPr fontId="2"/>
  </si>
  <si>
    <t>Y　-北</t>
    <rPh sb="3" eb="4">
      <t>キタ</t>
    </rPh>
    <phoneticPr fontId="2"/>
  </si>
  <si>
    <t>上町四天王寺</t>
    <rPh sb="0" eb="1">
      <t>ウエ</t>
    </rPh>
    <rPh sb="1" eb="2">
      <t>マチ</t>
    </rPh>
    <rPh sb="2" eb="6">
      <t>シテンノウジ</t>
    </rPh>
    <phoneticPr fontId="2"/>
  </si>
  <si>
    <t>布施・小阪南</t>
    <rPh sb="0" eb="2">
      <t>フセ</t>
    </rPh>
    <rPh sb="3" eb="5">
      <t>コサカ</t>
    </rPh>
    <rPh sb="5" eb="6">
      <t>ミナミ</t>
    </rPh>
    <phoneticPr fontId="2"/>
  </si>
  <si>
    <t>Ａ-天下茶屋</t>
    <rPh sb="2" eb="6">
      <t>テンガチャヤ</t>
    </rPh>
    <phoneticPr fontId="2"/>
  </si>
  <si>
    <t>Ａ-布施･小阪南</t>
    <rPh sb="2" eb="4">
      <t>フセ</t>
    </rPh>
    <rPh sb="5" eb="7">
      <t>コサカ</t>
    </rPh>
    <rPh sb="7" eb="8">
      <t>ミナミ</t>
    </rPh>
    <phoneticPr fontId="2"/>
  </si>
  <si>
    <t>大正泉尾</t>
    <rPh sb="0" eb="2">
      <t>タイショウ</t>
    </rPh>
    <rPh sb="2" eb="3">
      <t>イズミ</t>
    </rPh>
    <rPh sb="3" eb="4">
      <t>オ</t>
    </rPh>
    <phoneticPr fontId="2"/>
  </si>
  <si>
    <t>衣擢</t>
    <rPh sb="0" eb="1">
      <t>キヌ</t>
    </rPh>
    <rPh sb="1" eb="2">
      <t>ダク</t>
    </rPh>
    <phoneticPr fontId="2"/>
  </si>
  <si>
    <t>Ａ-吹田</t>
    <rPh sb="2" eb="4">
      <t>スイタ</t>
    </rPh>
    <phoneticPr fontId="2"/>
  </si>
  <si>
    <t>Ａ-松原</t>
    <rPh sb="2" eb="4">
      <t>マツバラ</t>
    </rPh>
    <phoneticPr fontId="2"/>
  </si>
  <si>
    <t>柏原・国分</t>
    <rPh sb="0" eb="2">
      <t>カシハラ</t>
    </rPh>
    <phoneticPr fontId="2"/>
  </si>
  <si>
    <t>姫路営業所    Tel   079-262-6266   Fax   079-252-8550</t>
    <rPh sb="2" eb="3">
      <t>エイ</t>
    </rPh>
    <rPh sb="3" eb="4">
      <t>ギョウ</t>
    </rPh>
    <rPh sb="4" eb="5">
      <t>ショ</t>
    </rPh>
    <phoneticPr fontId="2"/>
  </si>
  <si>
    <t>神戸営業部 　 Tel   078-382-1000   Fax   078-371-2357</t>
    <rPh sb="0" eb="2">
      <t>コウベ</t>
    </rPh>
    <rPh sb="2" eb="4">
      <t>エイギョウ</t>
    </rPh>
    <rPh sb="4" eb="5">
      <t>ブ</t>
    </rPh>
    <phoneticPr fontId="2"/>
  </si>
  <si>
    <r>
      <t>Ａ-</t>
    </r>
    <r>
      <rPr>
        <sz val="11"/>
        <rFont val="ＭＳ Ｐゴシック"/>
        <family val="3"/>
        <charset val="128"/>
      </rPr>
      <t>蛍池･石橋</t>
    </r>
    <rPh sb="2" eb="4">
      <t>ホタルガイケ</t>
    </rPh>
    <rPh sb="5" eb="7">
      <t>イシバシ</t>
    </rPh>
    <phoneticPr fontId="2"/>
  </si>
  <si>
    <t>神戸営業部  Tel  078-382-1000 Fax 078-371-2357</t>
    <phoneticPr fontId="2"/>
  </si>
  <si>
    <t>本　　     社  Tel  078-990-1555 Fax 078-990-1500</t>
    <phoneticPr fontId="2"/>
  </si>
  <si>
    <t>姫路営業所  Tel  079-262-6266 Fax 079-252-8550</t>
    <phoneticPr fontId="2"/>
  </si>
  <si>
    <t>中茶屋横堤</t>
    <rPh sb="0" eb="1">
      <t>ナカ</t>
    </rPh>
    <rPh sb="1" eb="2">
      <t>チャ</t>
    </rPh>
    <rPh sb="2" eb="3">
      <t>ヤ</t>
    </rPh>
    <rPh sb="3" eb="5">
      <t>ヨコヅツミ</t>
    </rPh>
    <phoneticPr fontId="2"/>
  </si>
  <si>
    <t>Ｍ-中茶屋横堤</t>
    <rPh sb="2" eb="3">
      <t>ナカ</t>
    </rPh>
    <rPh sb="3" eb="5">
      <t>チャヤ</t>
    </rPh>
    <rPh sb="5" eb="7">
      <t>ヨコヅツミ</t>
    </rPh>
    <phoneticPr fontId="2"/>
  </si>
  <si>
    <t>春日</t>
  </si>
  <si>
    <t>Y－太子堂</t>
    <rPh sb="2" eb="5">
      <t>タイシドウ</t>
    </rPh>
    <phoneticPr fontId="2"/>
  </si>
  <si>
    <t>中もず南</t>
    <rPh sb="0" eb="1">
      <t>ナカ</t>
    </rPh>
    <rPh sb="3" eb="4">
      <t>ミナミ</t>
    </rPh>
    <phoneticPr fontId="2"/>
  </si>
  <si>
    <t>中百舌鳥北</t>
    <rPh sb="0" eb="4">
      <t>ナカモズ</t>
    </rPh>
    <rPh sb="4" eb="5">
      <t>キタ</t>
    </rPh>
    <phoneticPr fontId="2"/>
  </si>
  <si>
    <t>河内小阪</t>
    <rPh sb="0" eb="2">
      <t>カワチ</t>
    </rPh>
    <rPh sb="2" eb="4">
      <t>コサカ</t>
    </rPh>
    <phoneticPr fontId="2"/>
  </si>
  <si>
    <t>Ａ-中もず南</t>
    <rPh sb="2" eb="3">
      <t>チュウ</t>
    </rPh>
    <rPh sb="5" eb="6">
      <t>ミナミ</t>
    </rPh>
    <phoneticPr fontId="2"/>
  </si>
  <si>
    <t>Ａ-中百舌鳥北</t>
    <rPh sb="2" eb="6">
      <t>ナカモズ</t>
    </rPh>
    <rPh sb="6" eb="7">
      <t>キタ</t>
    </rPh>
    <phoneticPr fontId="2"/>
  </si>
  <si>
    <t>Ｙ-河内小阪</t>
    <rPh sb="2" eb="4">
      <t>カワチ</t>
    </rPh>
    <rPh sb="4" eb="6">
      <t>コサカ</t>
    </rPh>
    <phoneticPr fontId="2"/>
  </si>
  <si>
    <t>津田長尾</t>
    <rPh sb="0" eb="2">
      <t>ツダ</t>
    </rPh>
    <rPh sb="2" eb="4">
      <t>ナガオ</t>
    </rPh>
    <phoneticPr fontId="2"/>
  </si>
  <si>
    <t>Ａ-津田長尾</t>
    <rPh sb="2" eb="4">
      <t>ツダ</t>
    </rPh>
    <rPh sb="4" eb="6">
      <t>ナガオ</t>
    </rPh>
    <phoneticPr fontId="2"/>
  </si>
  <si>
    <t>枚方公園</t>
    <rPh sb="0" eb="4">
      <t>ヒラカタコウエン</t>
    </rPh>
    <phoneticPr fontId="2"/>
  </si>
  <si>
    <t>Ｙ-柏原</t>
    <rPh sb="2" eb="4">
      <t>カイバラ</t>
    </rPh>
    <phoneticPr fontId="2"/>
  </si>
  <si>
    <t>枚方中央</t>
    <rPh sb="0" eb="4">
      <t>ヒラカタチュウオウ</t>
    </rPh>
    <phoneticPr fontId="2"/>
  </si>
  <si>
    <t>高槻真上・富田北</t>
    <rPh sb="0" eb="2">
      <t>タカツキ</t>
    </rPh>
    <rPh sb="2" eb="4">
      <t>マウエ</t>
    </rPh>
    <rPh sb="5" eb="7">
      <t>トミタ</t>
    </rPh>
    <rPh sb="7" eb="8">
      <t>キタ</t>
    </rPh>
    <phoneticPr fontId="2"/>
  </si>
  <si>
    <t>河内花園</t>
    <rPh sb="0" eb="2">
      <t>カワチ</t>
    </rPh>
    <rPh sb="2" eb="4">
      <t>ハナゾノ</t>
    </rPh>
    <phoneticPr fontId="2"/>
  </si>
  <si>
    <t>河内山本</t>
    <rPh sb="0" eb="2">
      <t>カワチ</t>
    </rPh>
    <rPh sb="2" eb="4">
      <t>ヤマモト</t>
    </rPh>
    <phoneticPr fontId="2"/>
  </si>
  <si>
    <t>Ｙ-河内山本</t>
    <rPh sb="2" eb="4">
      <t>カワチ</t>
    </rPh>
    <rPh sb="4" eb="6">
      <t>ヤマモト</t>
    </rPh>
    <phoneticPr fontId="2"/>
  </si>
  <si>
    <t>Ｙ-高槻真上･富田北</t>
    <rPh sb="7" eb="9">
      <t>トミタ</t>
    </rPh>
    <rPh sb="9" eb="10">
      <t>キタ</t>
    </rPh>
    <phoneticPr fontId="2"/>
  </si>
  <si>
    <t>長野西</t>
    <rPh sb="0" eb="3">
      <t>ナガノニシ</t>
    </rPh>
    <phoneticPr fontId="2"/>
  </si>
  <si>
    <t xml:space="preserve"> 鳳・和泉北</t>
    <rPh sb="1" eb="2">
      <t>オオトリ</t>
    </rPh>
    <rPh sb="3" eb="5">
      <t>イズミ</t>
    </rPh>
    <rPh sb="5" eb="6">
      <t>キタ</t>
    </rPh>
    <phoneticPr fontId="2"/>
  </si>
  <si>
    <t>片山</t>
    <rPh sb="0" eb="2">
      <t>カタヤマ</t>
    </rPh>
    <phoneticPr fontId="2"/>
  </si>
  <si>
    <t>吹田北</t>
    <rPh sb="0" eb="3">
      <t>スイタキタ</t>
    </rPh>
    <phoneticPr fontId="2"/>
  </si>
  <si>
    <t>Ｙ-枚方東</t>
    <rPh sb="2" eb="5">
      <t>ヒラカタヒガシ</t>
    </rPh>
    <phoneticPr fontId="2"/>
  </si>
  <si>
    <t>Ａ-鳳・和泉北</t>
    <rPh sb="2" eb="3">
      <t>オオトリ</t>
    </rPh>
    <phoneticPr fontId="2"/>
  </si>
  <si>
    <t>東豊中</t>
    <rPh sb="1" eb="3">
      <t>トヨナカ</t>
    </rPh>
    <phoneticPr fontId="2"/>
  </si>
  <si>
    <t>吉見泉佐野</t>
    <rPh sb="0" eb="5">
      <t>ヨシミイズミサノ</t>
    </rPh>
    <phoneticPr fontId="2"/>
  </si>
  <si>
    <t>Ｙ-吉見泉佐野</t>
    <rPh sb="2" eb="4">
      <t>ヨシミ</t>
    </rPh>
    <rPh sb="4" eb="5">
      <t>イズミ</t>
    </rPh>
    <rPh sb="5" eb="7">
      <t>サノ</t>
    </rPh>
    <phoneticPr fontId="2"/>
  </si>
  <si>
    <t>千里南</t>
    <rPh sb="0" eb="3">
      <t>センリミナミ</t>
    </rPh>
    <phoneticPr fontId="2"/>
  </si>
  <si>
    <t>京町堀(A)</t>
    <rPh sb="0" eb="2">
      <t>キョウマチ</t>
    </rPh>
    <rPh sb="2" eb="3">
      <t>ホリ</t>
    </rPh>
    <phoneticPr fontId="2"/>
  </si>
  <si>
    <t>四ツ橋(A)</t>
    <rPh sb="0" eb="1">
      <t>ヨ</t>
    </rPh>
    <rPh sb="2" eb="3">
      <t>バシ</t>
    </rPh>
    <phoneticPr fontId="2"/>
  </si>
  <si>
    <t>心斎橋(A)</t>
    <rPh sb="0" eb="3">
      <t>シンサイバシ</t>
    </rPh>
    <phoneticPr fontId="2"/>
  </si>
  <si>
    <t>Ｙ-淀川</t>
  </si>
  <si>
    <t>泉ヶ丘</t>
    <rPh sb="0" eb="3">
      <t>イズミガオカ</t>
    </rPh>
    <phoneticPr fontId="2"/>
  </si>
  <si>
    <t>Ａ-泉ヶ丘</t>
    <rPh sb="2" eb="3">
      <t>イズミ</t>
    </rPh>
    <rPh sb="4" eb="5">
      <t>オカ</t>
    </rPh>
    <phoneticPr fontId="2"/>
  </si>
  <si>
    <t>旭ヶ丘</t>
    <rPh sb="0" eb="3">
      <t>アサヒガオカ</t>
    </rPh>
    <phoneticPr fontId="2"/>
  </si>
  <si>
    <t>Ａ-旭ヶ丘</t>
    <rPh sb="2" eb="5">
      <t>アサヒガオカ</t>
    </rPh>
    <phoneticPr fontId="2"/>
  </si>
  <si>
    <t>天六大淀</t>
    <rPh sb="0" eb="2">
      <t>テンロク</t>
    </rPh>
    <rPh sb="2" eb="4">
      <t>オオヨド</t>
    </rPh>
    <phoneticPr fontId="2"/>
  </si>
  <si>
    <t>梅田北</t>
    <rPh sb="0" eb="3">
      <t>ウメダキタ</t>
    </rPh>
    <phoneticPr fontId="2"/>
  </si>
  <si>
    <t>寝屋川公園</t>
    <rPh sb="0" eb="3">
      <t>ネヤガワ</t>
    </rPh>
    <rPh sb="3" eb="5">
      <t>コウエン</t>
    </rPh>
    <phoneticPr fontId="2"/>
  </si>
  <si>
    <t>平野・喜連</t>
    <rPh sb="0" eb="2">
      <t>ヒラノ</t>
    </rPh>
    <rPh sb="3" eb="5">
      <t>キレ</t>
    </rPh>
    <phoneticPr fontId="2"/>
  </si>
  <si>
    <t>池田・石橋</t>
    <rPh sb="0" eb="2">
      <t>イケダ</t>
    </rPh>
    <rPh sb="3" eb="5">
      <t>イシバシ</t>
    </rPh>
    <phoneticPr fontId="2"/>
  </si>
  <si>
    <t>Ａ-池田・石橋</t>
    <rPh sb="2" eb="4">
      <t>イケダ</t>
    </rPh>
    <rPh sb="5" eb="7">
      <t>イシバシ</t>
    </rPh>
    <phoneticPr fontId="2"/>
  </si>
  <si>
    <t>八尾南</t>
    <rPh sb="0" eb="3">
      <t>ヤオミナミ</t>
    </rPh>
    <phoneticPr fontId="2"/>
  </si>
  <si>
    <t>Ａ-八尾南</t>
    <rPh sb="2" eb="4">
      <t>ヤオ</t>
    </rPh>
    <rPh sb="4" eb="5">
      <t>ミナミ</t>
    </rPh>
    <phoneticPr fontId="2"/>
  </si>
  <si>
    <t>香里ケ丘</t>
    <rPh sb="0" eb="4">
      <t>コウリガオカ</t>
    </rPh>
    <phoneticPr fontId="2"/>
  </si>
  <si>
    <t>Ａ-香里ケ丘</t>
    <rPh sb="2" eb="6">
      <t>コウリガオカ</t>
    </rPh>
    <phoneticPr fontId="2"/>
  </si>
  <si>
    <t>M-野崎</t>
    <rPh sb="2" eb="4">
      <t>ノザキ</t>
    </rPh>
    <phoneticPr fontId="2"/>
  </si>
  <si>
    <t>岸和田和泉</t>
    <rPh sb="0" eb="5">
      <t>キシワダイズミ</t>
    </rPh>
    <phoneticPr fontId="2"/>
  </si>
  <si>
    <t>高槻北･南平台</t>
    <rPh sb="0" eb="2">
      <t>タカツキ</t>
    </rPh>
    <rPh sb="2" eb="3">
      <t>キタ</t>
    </rPh>
    <rPh sb="4" eb="5">
      <t>ミナミ</t>
    </rPh>
    <rPh sb="5" eb="6">
      <t>ヒラ</t>
    </rPh>
    <rPh sb="6" eb="7">
      <t>ダイ</t>
    </rPh>
    <phoneticPr fontId="2"/>
  </si>
  <si>
    <t>吹田北部</t>
    <rPh sb="0" eb="2">
      <t>スイタ</t>
    </rPh>
    <rPh sb="2" eb="4">
      <t>ホクブ</t>
    </rPh>
    <phoneticPr fontId="2"/>
  </si>
  <si>
    <t>Ｙ-吹田北部</t>
    <rPh sb="2" eb="4">
      <t>スイタ</t>
    </rPh>
    <rPh sb="4" eb="6">
      <t>ホクブ</t>
    </rPh>
    <phoneticPr fontId="2"/>
  </si>
  <si>
    <t>泉ヶ丘北</t>
    <rPh sb="0" eb="3">
      <t>イズミガオカ</t>
    </rPh>
    <rPh sb="3" eb="4">
      <t>キタ</t>
    </rPh>
    <phoneticPr fontId="2"/>
  </si>
  <si>
    <t>Ｍ-平野</t>
    <rPh sb="2" eb="4">
      <t>ヒラノ</t>
    </rPh>
    <phoneticPr fontId="2"/>
  </si>
  <si>
    <t>Ａ-平野･喜連</t>
    <rPh sb="2" eb="4">
      <t>ヒラノ</t>
    </rPh>
    <phoneticPr fontId="2"/>
  </si>
  <si>
    <t>泉ヶ丘南</t>
    <rPh sb="0" eb="3">
      <t>イズミガオカ</t>
    </rPh>
    <rPh sb="3" eb="4">
      <t>ミナミ</t>
    </rPh>
    <phoneticPr fontId="2"/>
  </si>
  <si>
    <t>神崎川</t>
    <rPh sb="0" eb="3">
      <t>カンザキガワ</t>
    </rPh>
    <phoneticPr fontId="2"/>
  </si>
  <si>
    <t>茨木安威</t>
    <rPh sb="0" eb="2">
      <t>イバラキ</t>
    </rPh>
    <rPh sb="2" eb="4">
      <t>アイ</t>
    </rPh>
    <phoneticPr fontId="2"/>
  </si>
  <si>
    <t>M-吉井</t>
    <rPh sb="2" eb="4">
      <t>ヨシイ</t>
    </rPh>
    <phoneticPr fontId="2"/>
  </si>
  <si>
    <t>廃店</t>
    <rPh sb="0" eb="2">
      <t>ハイテン</t>
    </rPh>
    <phoneticPr fontId="2"/>
  </si>
  <si>
    <t>阪南･樽井</t>
    <rPh sb="0" eb="2">
      <t>ハンナン</t>
    </rPh>
    <rPh sb="3" eb="5">
      <t>タルイ</t>
    </rPh>
    <phoneticPr fontId="2"/>
  </si>
  <si>
    <t>東平野</t>
    <rPh sb="0" eb="3">
      <t>ヒガシヒラノ</t>
    </rPh>
    <phoneticPr fontId="2"/>
  </si>
  <si>
    <t>Ｍ-東平野</t>
    <rPh sb="2" eb="5">
      <t>ヒガシヒラノ</t>
    </rPh>
    <phoneticPr fontId="2"/>
  </si>
  <si>
    <t>今市高殿</t>
    <rPh sb="0" eb="2">
      <t>イマイチ</t>
    </rPh>
    <phoneticPr fontId="2"/>
  </si>
  <si>
    <t>Ａ-今市高殿</t>
    <rPh sb="2" eb="4">
      <t>イマイチ</t>
    </rPh>
    <rPh sb="4" eb="6">
      <t>タカドノ</t>
    </rPh>
    <phoneticPr fontId="2"/>
  </si>
  <si>
    <t>長野南</t>
    <rPh sb="0" eb="3">
      <t>ナガノミナミ</t>
    </rPh>
    <phoneticPr fontId="2"/>
  </si>
  <si>
    <t>天美南</t>
    <rPh sb="0" eb="2">
      <t>アマミ</t>
    </rPh>
    <rPh sb="2" eb="3">
      <t>ミナミ</t>
    </rPh>
    <phoneticPr fontId="2"/>
  </si>
  <si>
    <t>河原城</t>
    <rPh sb="0" eb="3">
      <t>カワラジョウ</t>
    </rPh>
    <phoneticPr fontId="2"/>
  </si>
  <si>
    <t>泉北豊田</t>
    <rPh sb="0" eb="4">
      <t>センボクトヨタ</t>
    </rPh>
    <phoneticPr fontId="2"/>
  </si>
  <si>
    <t>泉北中央1</t>
    <rPh sb="0" eb="4">
      <t>センボクチュウオウ</t>
    </rPh>
    <phoneticPr fontId="2"/>
  </si>
  <si>
    <t>泉北中央2</t>
    <rPh sb="0" eb="4">
      <t>センボクチュウオウ</t>
    </rPh>
    <phoneticPr fontId="2"/>
  </si>
  <si>
    <t>泉北高倉台</t>
    <rPh sb="0" eb="5">
      <t>センボクタカクラダイ</t>
    </rPh>
    <phoneticPr fontId="2"/>
  </si>
  <si>
    <t>福泉</t>
    <rPh sb="0" eb="2">
      <t>フクイズミ</t>
    </rPh>
    <phoneticPr fontId="2"/>
  </si>
  <si>
    <t>Ｍ-巽</t>
    <rPh sb="2" eb="3">
      <t>タツミ</t>
    </rPh>
    <phoneticPr fontId="2"/>
  </si>
  <si>
    <t>Ｍ-南田辺</t>
  </si>
  <si>
    <t>Ｍ-育和</t>
  </si>
  <si>
    <t>Ｙ-天美南</t>
    <rPh sb="2" eb="4">
      <t>アマミ</t>
    </rPh>
    <rPh sb="4" eb="5">
      <t>ミナミ</t>
    </rPh>
    <phoneticPr fontId="2"/>
  </si>
  <si>
    <t>Ｙ-長野南</t>
    <rPh sb="2" eb="4">
      <t>ナガノ</t>
    </rPh>
    <rPh sb="4" eb="5">
      <t>ミナミ</t>
    </rPh>
    <phoneticPr fontId="2"/>
  </si>
  <si>
    <t>Ｙ-河内長野</t>
    <rPh sb="2" eb="4">
      <t>カワチ</t>
    </rPh>
    <rPh sb="4" eb="6">
      <t>ナガノ</t>
    </rPh>
    <phoneticPr fontId="2"/>
  </si>
  <si>
    <t>百舌鳥・深井</t>
    <rPh sb="0" eb="3">
      <t>モズ</t>
    </rPh>
    <rPh sb="4" eb="6">
      <t>フカイ</t>
    </rPh>
    <phoneticPr fontId="2"/>
  </si>
  <si>
    <t>泉ヶ丘</t>
    <rPh sb="0" eb="1">
      <t>イズミ</t>
    </rPh>
    <rPh sb="2" eb="3">
      <t>オカ</t>
    </rPh>
    <phoneticPr fontId="2"/>
  </si>
  <si>
    <t>住之江西部</t>
    <rPh sb="0" eb="5">
      <t>スミノエセイブ</t>
    </rPh>
    <phoneticPr fontId="2"/>
  </si>
  <si>
    <t>Ｍ-加賀屋</t>
    <rPh sb="2" eb="5">
      <t>カガヤ</t>
    </rPh>
    <phoneticPr fontId="2"/>
  </si>
  <si>
    <t>Ｍ-住之江</t>
    <rPh sb="2" eb="5">
      <t>スミノエ</t>
    </rPh>
    <phoneticPr fontId="2"/>
  </si>
  <si>
    <t>鶴見</t>
    <rPh sb="0" eb="2">
      <t>ツルミ</t>
    </rPh>
    <phoneticPr fontId="2"/>
  </si>
  <si>
    <t>Ａ-千里山田北</t>
    <rPh sb="2" eb="5">
      <t>センリヤマ</t>
    </rPh>
    <rPh sb="5" eb="6">
      <t>ダ</t>
    </rPh>
    <rPh sb="6" eb="7">
      <t>キタ</t>
    </rPh>
    <phoneticPr fontId="2"/>
  </si>
  <si>
    <t>Ａ-北千里</t>
    <rPh sb="2" eb="5">
      <t>キタセンリ</t>
    </rPh>
    <phoneticPr fontId="2"/>
  </si>
  <si>
    <t>Ａ-南千里</t>
    <rPh sb="2" eb="5">
      <t>ミナミセンリ</t>
    </rPh>
    <phoneticPr fontId="2"/>
  </si>
  <si>
    <t>A-千里上新田</t>
    <rPh sb="2" eb="7">
      <t>センリカミシンデン</t>
    </rPh>
    <phoneticPr fontId="2"/>
  </si>
  <si>
    <t>A-千里中央</t>
    <rPh sb="2" eb="6">
      <t>センリチュウオウ</t>
    </rPh>
    <phoneticPr fontId="2"/>
  </si>
  <si>
    <t>Ａ-泉北西</t>
    <rPh sb="2" eb="5">
      <t>センボクニシ</t>
    </rPh>
    <phoneticPr fontId="2"/>
  </si>
  <si>
    <t>大東</t>
    <rPh sb="0" eb="2">
      <t>ダイトウ</t>
    </rPh>
    <phoneticPr fontId="2"/>
  </si>
  <si>
    <t>東大阪北</t>
    <rPh sb="0" eb="4">
      <t>ヒガシオオサカキタ</t>
    </rPh>
    <phoneticPr fontId="2"/>
  </si>
  <si>
    <t>Ａ-東大阪北</t>
    <rPh sb="2" eb="6">
      <t>ヒガシオオサカキタ</t>
    </rPh>
    <phoneticPr fontId="2"/>
  </si>
  <si>
    <t>鴻池東</t>
    <rPh sb="0" eb="3">
      <t>コウノイケヒガシ</t>
    </rPh>
    <phoneticPr fontId="2"/>
  </si>
  <si>
    <t>A-鴻池東</t>
    <rPh sb="2" eb="5">
      <t>コウノイケヒガシ</t>
    </rPh>
    <phoneticPr fontId="2"/>
  </si>
  <si>
    <t>富田林東</t>
    <rPh sb="0" eb="4">
      <t>トンダバヤシヒガシ</t>
    </rPh>
    <phoneticPr fontId="2"/>
  </si>
  <si>
    <t>N　-天六</t>
    <rPh sb="3" eb="5">
      <t>テンロク</t>
    </rPh>
    <phoneticPr fontId="2"/>
  </si>
  <si>
    <t>松原西・天美</t>
    <rPh sb="0" eb="3">
      <t>マツバラニシ</t>
    </rPh>
    <rPh sb="4" eb="6">
      <t>アマミ</t>
    </rPh>
    <phoneticPr fontId="2"/>
  </si>
  <si>
    <t>廃店</t>
    <rPh sb="0" eb="2">
      <t>ハイテン</t>
    </rPh>
    <phoneticPr fontId="2"/>
  </si>
  <si>
    <t>Ａ-鶴見</t>
    <phoneticPr fontId="2"/>
  </si>
  <si>
    <t>Ａ-大東</t>
    <rPh sb="2" eb="4">
      <t>ダイトウ</t>
    </rPh>
    <phoneticPr fontId="2"/>
  </si>
  <si>
    <t>廃店</t>
    <rPh sb="0" eb="2">
      <t>ハイテン</t>
    </rPh>
    <phoneticPr fontId="2"/>
  </si>
  <si>
    <t>泉尾永楽橋</t>
    <rPh sb="0" eb="1">
      <t>イズミ</t>
    </rPh>
    <rPh sb="1" eb="2">
      <t>オ</t>
    </rPh>
    <rPh sb="2" eb="5">
      <t>エイラクバシ</t>
    </rPh>
    <phoneticPr fontId="2"/>
  </si>
  <si>
    <t>楠葉</t>
    <rPh sb="0" eb="2">
      <t>クズハ</t>
    </rPh>
    <phoneticPr fontId="2"/>
  </si>
  <si>
    <t>Ｍ-楠葉</t>
    <rPh sb="2" eb="4">
      <t>クズハ</t>
    </rPh>
    <phoneticPr fontId="2"/>
  </si>
  <si>
    <t>Ｙ-高槻北・南平台</t>
    <rPh sb="2" eb="4">
      <t>タカツキ</t>
    </rPh>
    <rPh sb="4" eb="5">
      <t>キタ</t>
    </rPh>
    <rPh sb="6" eb="9">
      <t>ナンペイダイ</t>
    </rPh>
    <phoneticPr fontId="2"/>
  </si>
  <si>
    <t>Ｙ-枚方長尾</t>
    <rPh sb="2" eb="4">
      <t>ヒラカタ</t>
    </rPh>
    <rPh sb="4" eb="6">
      <t>ナガオ</t>
    </rPh>
    <phoneticPr fontId="2"/>
  </si>
  <si>
    <t>Ａ-阿倍野</t>
    <rPh sb="2" eb="5">
      <t>アベノ</t>
    </rPh>
    <phoneticPr fontId="2"/>
  </si>
  <si>
    <t>廃店</t>
    <rPh sb="0" eb="2">
      <t>ハイテン</t>
    </rPh>
    <phoneticPr fontId="2"/>
  </si>
  <si>
    <t>廃店</t>
    <rPh sb="0" eb="2">
      <t>ハイテン</t>
    </rPh>
    <phoneticPr fontId="2"/>
  </si>
  <si>
    <t>廃店</t>
    <rPh sb="0" eb="2">
      <t>ハイテン</t>
    </rPh>
    <phoneticPr fontId="2"/>
  </si>
  <si>
    <t>上新庄･下新庄</t>
    <rPh sb="0" eb="3">
      <t>カミシンジョウ</t>
    </rPh>
    <rPh sb="4" eb="7">
      <t>シモシンジョウ</t>
    </rPh>
    <phoneticPr fontId="2"/>
  </si>
  <si>
    <t>福島・野田</t>
    <rPh sb="0" eb="2">
      <t>フクシマ</t>
    </rPh>
    <rPh sb="3" eb="5">
      <t>ノダ</t>
    </rPh>
    <phoneticPr fontId="2"/>
  </si>
  <si>
    <t>天六・大淀</t>
    <rPh sb="0" eb="2">
      <t>テンロク</t>
    </rPh>
    <rPh sb="3" eb="5">
      <t>オオヨド</t>
    </rPh>
    <phoneticPr fontId="2"/>
  </si>
  <si>
    <t>廃店</t>
    <rPh sb="0" eb="2">
      <t>ハイテン</t>
    </rPh>
    <phoneticPr fontId="2"/>
  </si>
  <si>
    <t>廃店</t>
    <rPh sb="0" eb="2">
      <t>ハイテン</t>
    </rPh>
    <phoneticPr fontId="2"/>
  </si>
  <si>
    <t>Ｙ-上新庄・下新庄</t>
    <rPh sb="2" eb="5">
      <t>カミシンジョウ</t>
    </rPh>
    <phoneticPr fontId="2"/>
  </si>
  <si>
    <t>廃店</t>
    <rPh sb="0" eb="2">
      <t>ハイテン</t>
    </rPh>
    <phoneticPr fontId="2"/>
  </si>
  <si>
    <t>鳳</t>
    <rPh sb="0" eb="1">
      <t>オオトリ</t>
    </rPh>
    <phoneticPr fontId="2"/>
  </si>
  <si>
    <t>和泉府中鳳</t>
    <rPh sb="0" eb="5">
      <t>イズミフチュウオオトリ</t>
    </rPh>
    <phoneticPr fontId="2"/>
  </si>
  <si>
    <t>A -鳳</t>
    <rPh sb="3" eb="4">
      <t>オオトリ</t>
    </rPh>
    <phoneticPr fontId="2"/>
  </si>
  <si>
    <t>Ａ-箕面中央</t>
    <rPh sb="2" eb="4">
      <t>ミノオ</t>
    </rPh>
    <rPh sb="4" eb="6">
      <t>チュウオウ</t>
    </rPh>
    <phoneticPr fontId="2"/>
  </si>
  <si>
    <t>新徳庵</t>
    <rPh sb="0" eb="3">
      <t>シントクアン</t>
    </rPh>
    <phoneticPr fontId="2"/>
  </si>
  <si>
    <t>A-新徳庵</t>
    <rPh sb="2" eb="5">
      <t>シントクアン</t>
    </rPh>
    <phoneticPr fontId="2"/>
  </si>
  <si>
    <t>池田東</t>
    <rPh sb="0" eb="3">
      <t>イケダヒガシ</t>
    </rPh>
    <phoneticPr fontId="2"/>
  </si>
  <si>
    <t>Ａ-池田東</t>
    <rPh sb="2" eb="4">
      <t>イケダ</t>
    </rPh>
    <rPh sb="4" eb="5">
      <t>ヒガシ</t>
    </rPh>
    <phoneticPr fontId="2"/>
  </si>
  <si>
    <t>高石泉大津北</t>
    <rPh sb="0" eb="2">
      <t>タカイシ</t>
    </rPh>
    <rPh sb="2" eb="5">
      <t>イズミオオツ</t>
    </rPh>
    <rPh sb="5" eb="6">
      <t>キタ</t>
    </rPh>
    <phoneticPr fontId="2"/>
  </si>
  <si>
    <t>富木・信太山</t>
    <rPh sb="0" eb="2">
      <t>トミキ</t>
    </rPh>
    <rPh sb="3" eb="6">
      <t>シノダヤマ</t>
    </rPh>
    <phoneticPr fontId="2"/>
  </si>
  <si>
    <t>堺市駅前</t>
    <rPh sb="0" eb="1">
      <t>サカイ</t>
    </rPh>
    <rPh sb="1" eb="2">
      <t>シ</t>
    </rPh>
    <rPh sb="2" eb="4">
      <t>エキマエ</t>
    </rPh>
    <phoneticPr fontId="2"/>
  </si>
  <si>
    <t>東浅香</t>
    <rPh sb="0" eb="3">
      <t>ヒガシアサカ</t>
    </rPh>
    <phoneticPr fontId="2"/>
  </si>
  <si>
    <t>百舌鳥</t>
    <rPh sb="0" eb="3">
      <t>モズ</t>
    </rPh>
    <phoneticPr fontId="2"/>
  </si>
  <si>
    <t>中百舌鳥</t>
    <phoneticPr fontId="2"/>
  </si>
  <si>
    <t>寝屋川中央・駅前</t>
    <rPh sb="0" eb="3">
      <t>ネヤガワ</t>
    </rPh>
    <rPh sb="3" eb="5">
      <t>チュウオウ</t>
    </rPh>
    <rPh sb="6" eb="7">
      <t>エキ</t>
    </rPh>
    <rPh sb="7" eb="8">
      <t>マエ</t>
    </rPh>
    <phoneticPr fontId="2"/>
  </si>
  <si>
    <t>枚方西</t>
    <rPh sb="0" eb="2">
      <t>ヒラカタ</t>
    </rPh>
    <rPh sb="2" eb="3">
      <t>ニシ</t>
    </rPh>
    <phoneticPr fontId="2"/>
  </si>
  <si>
    <t>Ｙ-門真</t>
    <rPh sb="2" eb="4">
      <t>カドマ</t>
    </rPh>
    <phoneticPr fontId="2"/>
  </si>
  <si>
    <t>Ｙ-住道</t>
    <rPh sb="2" eb="3">
      <t>スミ</t>
    </rPh>
    <rPh sb="3" eb="4">
      <t>ミチ</t>
    </rPh>
    <phoneticPr fontId="2"/>
  </si>
  <si>
    <t>Ｙ-寝屋川中央・駅前</t>
    <rPh sb="2" eb="5">
      <t>ネヤガワ</t>
    </rPh>
    <rPh sb="5" eb="7">
      <t>チュウオウ</t>
    </rPh>
    <rPh sb="8" eb="10">
      <t>エキマエ</t>
    </rPh>
    <phoneticPr fontId="2"/>
  </si>
  <si>
    <t>住道</t>
    <rPh sb="0" eb="1">
      <t>ジュウ</t>
    </rPh>
    <rPh sb="1" eb="2">
      <t>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</si>
</sst>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0%"/>
    <numFmt numFmtId="178" formatCode="&quot;$&quot;#,##0.000_);\(&quot;$&quot;#,##0.000\)"/>
    <numFmt numFmtId="179" formatCode="0;0;"/>
    <numFmt numFmtId="180" formatCode="yyyy&quot;年&quot;m&quot;月&quot;d&quot;日&quot;;@"/>
    <numFmt numFmtId="181" formatCode="#,##0_ ;[Red]\-#,##0\ "/>
    <numFmt numFmtId="182" formatCode="#,##0_ "/>
    <numFmt numFmtId="183" formatCode="yyyy&quot;年 &quot;m&quot;月 &quot;d&quot;日 &quot;\(aaa\)"/>
    <numFmt numFmtId="184" formatCode="yyyy\.mm\.dd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12"/>
      <name val="ＭＳ ゴシック"/>
      <family val="3"/>
      <charset val="128"/>
    </font>
    <font>
      <b/>
      <sz val="12"/>
      <name val="Arial"/>
      <family val="2"/>
    </font>
    <font>
      <b/>
      <i/>
      <sz val="12"/>
      <name val="ＭＳ ゴシック"/>
      <family val="3"/>
      <charset val="128"/>
    </font>
    <font>
      <sz val="11"/>
      <name val="HG丸ｺﾞｼｯｸM-PRO"/>
      <family val="3"/>
      <charset val="128"/>
    </font>
    <font>
      <sz val="28"/>
      <name val="ＤＦＰPOP体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9.5"/>
      <name val="ＭＳ Ｐゴシック"/>
      <family val="3"/>
      <charset val="128"/>
    </font>
    <font>
      <b/>
      <i/>
      <sz val="12"/>
      <name val="ＭＳ Ｐゴシック"/>
      <family val="3"/>
      <charset val="128"/>
      <scheme val="minor"/>
    </font>
    <font>
      <i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4">
    <xf numFmtId="0" fontId="0" fillId="0" borderId="0"/>
    <xf numFmtId="0" fontId="1" fillId="0" borderId="0" applyFill="0" applyBorder="0" applyAlignment="0"/>
    <xf numFmtId="0" fontId="22" fillId="0" borderId="0" applyNumberFormat="0" applyFont="0" applyBorder="0" applyAlignment="0" applyProtection="0"/>
    <xf numFmtId="38" fontId="21" fillId="2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10" fontId="21" fillId="3" borderId="3" applyNumberFormat="0" applyBorder="0" applyAlignment="0" applyProtection="0"/>
    <xf numFmtId="178" fontId="1" fillId="0" borderId="0"/>
    <xf numFmtId="0" fontId="20" fillId="0" borderId="0"/>
    <xf numFmtId="10" fontId="20" fillId="0" borderId="0" applyFont="0" applyFill="0" applyBorder="0" applyAlignment="0" applyProtection="0"/>
    <xf numFmtId="38" fontId="1" fillId="0" borderId="0" applyFont="0" applyFill="0" applyBorder="0" applyAlignment="0" applyProtection="0"/>
    <xf numFmtId="177" fontId="3" fillId="0" borderId="4" applyNumberFormat="0" applyFont="0" applyAlignment="0" applyProtection="0"/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</cellStyleXfs>
  <cellXfs count="865">
    <xf numFmtId="0" fontId="0" fillId="0" borderId="0" xfId="0"/>
    <xf numFmtId="38" fontId="0" fillId="0" borderId="0" xfId="10" applyFont="1"/>
    <xf numFmtId="38" fontId="0" fillId="0" borderId="5" xfId="10" applyFont="1" applyBorder="1"/>
    <xf numFmtId="38" fontId="0" fillId="0" borderId="6" xfId="1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8" fontId="0" fillId="0" borderId="17" xfId="10" applyFont="1" applyBorder="1"/>
    <xf numFmtId="0" fontId="0" fillId="0" borderId="18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7" xfId="0" applyFont="1" applyBorder="1"/>
    <xf numFmtId="0" fontId="0" fillId="0" borderId="21" xfId="0" applyBorder="1" applyAlignment="1">
      <alignment horizontal="distributed" justifyLastLine="1"/>
    </xf>
    <xf numFmtId="0" fontId="0" fillId="0" borderId="0" xfId="0" applyAlignment="1">
      <alignment horizontal="distributed" justifyLastLine="1"/>
    </xf>
    <xf numFmtId="0" fontId="3" fillId="0" borderId="17" xfId="0" applyFont="1" applyBorder="1" applyAlignment="1">
      <alignment horizontal="center"/>
    </xf>
    <xf numFmtId="38" fontId="0" fillId="0" borderId="0" xfId="0" applyNumberFormat="1"/>
    <xf numFmtId="38" fontId="0" fillId="0" borderId="0" xfId="10" applyFont="1" applyBorder="1"/>
    <xf numFmtId="0" fontId="0" fillId="0" borderId="0" xfId="0" applyAlignment="1">
      <alignment horizontal="distributed" wrapText="1" justifyLastLine="1"/>
    </xf>
    <xf numFmtId="0" fontId="3" fillId="0" borderId="17" xfId="0" applyFont="1" applyBorder="1" applyAlignment="1">
      <alignment horizontal="distributed"/>
    </xf>
    <xf numFmtId="0" fontId="3" fillId="0" borderId="0" xfId="0" applyFont="1" applyAlignment="1">
      <alignment horizontal="distributed"/>
    </xf>
    <xf numFmtId="0" fontId="3" fillId="0" borderId="26" xfId="0" applyFont="1" applyBorder="1"/>
    <xf numFmtId="0" fontId="3" fillId="0" borderId="27" xfId="0" applyFont="1" applyBorder="1"/>
    <xf numFmtId="38" fontId="0" fillId="0" borderId="26" xfId="10" applyFont="1" applyBorder="1"/>
    <xf numFmtId="0" fontId="3" fillId="0" borderId="26" xfId="0" applyFont="1" applyBorder="1" applyAlignment="1">
      <alignment horizontal="center"/>
    </xf>
    <xf numFmtId="38" fontId="0" fillId="0" borderId="18" xfId="10" applyFont="1" applyBorder="1"/>
    <xf numFmtId="0" fontId="5" fillId="0" borderId="0" xfId="0" applyFont="1" applyAlignment="1">
      <alignment horizontal="distributed"/>
    </xf>
    <xf numFmtId="0" fontId="3" fillId="0" borderId="18" xfId="0" applyFont="1" applyBorder="1" applyAlignment="1">
      <alignment horizontal="center"/>
    </xf>
    <xf numFmtId="38" fontId="3" fillId="0" borderId="17" xfId="10" applyFont="1" applyBorder="1" applyAlignment="1">
      <alignment horizontal="center"/>
    </xf>
    <xf numFmtId="0" fontId="5" fillId="0" borderId="17" xfId="0" applyFont="1" applyBorder="1" applyAlignment="1">
      <alignment horizontal="distributed"/>
    </xf>
    <xf numFmtId="38" fontId="3" fillId="0" borderId="26" xfId="10" applyFont="1" applyBorder="1" applyAlignment="1">
      <alignment horizontal="center"/>
    </xf>
    <xf numFmtId="38" fontId="3" fillId="0" borderId="17" xfId="10" applyFont="1" applyBorder="1"/>
    <xf numFmtId="38" fontId="3" fillId="0" borderId="18" xfId="0" applyNumberFormat="1" applyFont="1" applyBorder="1"/>
    <xf numFmtId="38" fontId="3" fillId="0" borderId="26" xfId="10" applyFont="1" applyBorder="1"/>
    <xf numFmtId="38" fontId="0" fillId="0" borderId="2" xfId="10" applyFont="1" applyBorder="1"/>
    <xf numFmtId="38" fontId="0" fillId="0" borderId="20" xfId="10" applyFont="1" applyBorder="1"/>
    <xf numFmtId="38" fontId="0" fillId="0" borderId="8" xfId="0" applyNumberFormat="1" applyBorder="1"/>
    <xf numFmtId="38" fontId="0" fillId="0" borderId="20" xfId="0" applyNumberFormat="1" applyBorder="1"/>
    <xf numFmtId="38" fontId="0" fillId="0" borderId="8" xfId="10" applyFont="1" applyBorder="1"/>
    <xf numFmtId="0" fontId="0" fillId="0" borderId="32" xfId="0" applyBorder="1"/>
    <xf numFmtId="0" fontId="0" fillId="0" borderId="33" xfId="0" applyBorder="1"/>
    <xf numFmtId="0" fontId="5" fillId="0" borderId="17" xfId="0" applyFont="1" applyBorder="1"/>
    <xf numFmtId="0" fontId="5" fillId="0" borderId="0" xfId="0" applyFont="1"/>
    <xf numFmtId="38" fontId="5" fillId="0" borderId="21" xfId="0" applyNumberFormat="1" applyFont="1" applyBorder="1"/>
    <xf numFmtId="0" fontId="5" fillId="0" borderId="33" xfId="0" applyFont="1" applyBorder="1"/>
    <xf numFmtId="38" fontId="5" fillId="0" borderId="34" xfId="0" applyNumberFormat="1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38" fontId="5" fillId="0" borderId="0" xfId="0" applyNumberFormat="1" applyFont="1"/>
    <xf numFmtId="38" fontId="5" fillId="0" borderId="35" xfId="0" applyNumberFormat="1" applyFont="1" applyBorder="1"/>
    <xf numFmtId="0" fontId="5" fillId="0" borderId="15" xfId="0" applyFont="1" applyBorder="1"/>
    <xf numFmtId="0" fontId="0" fillId="0" borderId="35" xfId="0" applyBorder="1"/>
    <xf numFmtId="0" fontId="0" fillId="0" borderId="36" xfId="0" applyBorder="1"/>
    <xf numFmtId="38" fontId="0" fillId="0" borderId="36" xfId="10" applyFont="1" applyBorder="1"/>
    <xf numFmtId="38" fontId="0" fillId="0" borderId="36" xfId="0" applyNumberFormat="1" applyBorder="1"/>
    <xf numFmtId="38" fontId="0" fillId="0" borderId="35" xfId="0" applyNumberFormat="1" applyBorder="1"/>
    <xf numFmtId="176" fontId="0" fillId="0" borderId="36" xfId="0" applyNumberFormat="1" applyBorder="1"/>
    <xf numFmtId="0" fontId="7" fillId="0" borderId="0" xfId="0" applyFont="1"/>
    <xf numFmtId="38" fontId="1" fillId="0" borderId="20" xfId="0" applyNumberFormat="1" applyFont="1" applyBorder="1"/>
    <xf numFmtId="0" fontId="0" fillId="0" borderId="32" xfId="0" applyBorder="1" applyAlignment="1">
      <alignment horizontal="left" indent="1"/>
    </xf>
    <xf numFmtId="0" fontId="0" fillId="0" borderId="37" xfId="0" applyBorder="1" applyAlignment="1">
      <alignment horizontal="left" indent="1"/>
    </xf>
    <xf numFmtId="0" fontId="0" fillId="0" borderId="38" xfId="0" applyBorder="1"/>
    <xf numFmtId="0" fontId="0" fillId="0" borderId="2" xfId="0" applyBorder="1"/>
    <xf numFmtId="0" fontId="0" fillId="0" borderId="39" xfId="0" applyBorder="1"/>
    <xf numFmtId="0" fontId="0" fillId="0" borderId="40" xfId="0" applyBorder="1"/>
    <xf numFmtId="38" fontId="0" fillId="0" borderId="40" xfId="0" applyNumberFormat="1" applyBorder="1"/>
    <xf numFmtId="0" fontId="0" fillId="0" borderId="41" xfId="0" applyBorder="1"/>
    <xf numFmtId="0" fontId="9" fillId="0" borderId="7" xfId="0" applyFont="1" applyBorder="1"/>
    <xf numFmtId="0" fontId="9" fillId="0" borderId="17" xfId="0" applyFont="1" applyBorder="1" applyAlignment="1">
      <alignment horizontal="distributed"/>
    </xf>
    <xf numFmtId="38" fontId="9" fillId="0" borderId="7" xfId="10" applyFont="1" applyBorder="1"/>
    <xf numFmtId="38" fontId="9" fillId="0" borderId="9" xfId="10" applyFont="1" applyBorder="1"/>
    <xf numFmtId="38" fontId="9" fillId="0" borderId="27" xfId="1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9" fillId="0" borderId="16" xfId="0" applyFont="1" applyBorder="1"/>
    <xf numFmtId="38" fontId="9" fillId="0" borderId="17" xfId="10" applyFont="1" applyBorder="1"/>
    <xf numFmtId="0" fontId="14" fillId="0" borderId="0" xfId="0" applyFont="1" applyAlignment="1">
      <alignment horizontal="left"/>
    </xf>
    <xf numFmtId="38" fontId="9" fillId="0" borderId="49" xfId="10" applyFont="1" applyBorder="1"/>
    <xf numFmtId="38" fontId="9" fillId="0" borderId="3" xfId="10" applyFont="1" applyBorder="1"/>
    <xf numFmtId="38" fontId="9" fillId="0" borderId="50" xfId="10" applyFont="1" applyBorder="1"/>
    <xf numFmtId="38" fontId="9" fillId="0" borderId="51" xfId="10" applyFont="1" applyBorder="1"/>
    <xf numFmtId="38" fontId="9" fillId="0" borderId="0" xfId="10" applyFont="1"/>
    <xf numFmtId="38" fontId="5" fillId="0" borderId="52" xfId="0" applyNumberFormat="1" applyFont="1" applyBorder="1"/>
    <xf numFmtId="38" fontId="9" fillId="0" borderId="34" xfId="0" applyNumberFormat="1" applyFont="1" applyBorder="1"/>
    <xf numFmtId="38" fontId="9" fillId="0" borderId="53" xfId="0" applyNumberFormat="1" applyFont="1" applyBorder="1"/>
    <xf numFmtId="38" fontId="9" fillId="0" borderId="3" xfId="10" applyFont="1" applyBorder="1" applyAlignment="1"/>
    <xf numFmtId="38" fontId="9" fillId="0" borderId="7" xfId="0" applyNumberFormat="1" applyFont="1" applyBorder="1"/>
    <xf numFmtId="38" fontId="9" fillId="0" borderId="9" xfId="0" applyNumberFormat="1" applyFont="1" applyBorder="1"/>
    <xf numFmtId="38" fontId="9" fillId="0" borderId="54" xfId="0" applyNumberFormat="1" applyFont="1" applyBorder="1"/>
    <xf numFmtId="38" fontId="0" fillId="0" borderId="32" xfId="0" applyNumberForma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5" fillId="0" borderId="33" xfId="0" applyNumberFormat="1" applyFont="1" applyBorder="1" applyAlignment="1">
      <alignment horizontal="center"/>
    </xf>
    <xf numFmtId="38" fontId="0" fillId="0" borderId="55" xfId="0" applyNumberFormat="1" applyBorder="1" applyAlignment="1">
      <alignment horizontal="center"/>
    </xf>
    <xf numFmtId="38" fontId="5" fillId="0" borderId="3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5" xfId="0" applyBorder="1" applyAlignment="1">
      <alignment horizontal="center"/>
    </xf>
    <xf numFmtId="38" fontId="0" fillId="0" borderId="56" xfId="0" applyNumberFormat="1" applyBorder="1"/>
    <xf numFmtId="0" fontId="17" fillId="0" borderId="0" xfId="0" applyFont="1"/>
    <xf numFmtId="0" fontId="17" fillId="0" borderId="0" xfId="0" applyFont="1" applyAlignment="1">
      <alignment vertical="center"/>
    </xf>
    <xf numFmtId="38" fontId="5" fillId="0" borderId="8" xfId="0" applyNumberFormat="1" applyFont="1" applyBorder="1"/>
    <xf numFmtId="49" fontId="25" fillId="0" borderId="0" xfId="12" applyNumberFormat="1" applyFont="1">
      <alignment vertical="center"/>
    </xf>
    <xf numFmtId="49" fontId="25" fillId="0" borderId="0" xfId="12" applyNumberFormat="1" applyFont="1" applyAlignment="1">
      <alignment horizontal="right" vertical="center"/>
    </xf>
    <xf numFmtId="49" fontId="26" fillId="0" borderId="0" xfId="12" applyNumberFormat="1" applyFont="1" applyAlignment="1">
      <alignment horizontal="center" vertical="center"/>
    </xf>
    <xf numFmtId="49" fontId="28" fillId="0" borderId="0" xfId="12" applyNumberFormat="1" applyFont="1" applyAlignment="1">
      <alignment horizontal="left" vertical="center"/>
    </xf>
    <xf numFmtId="49" fontId="25" fillId="0" borderId="0" xfId="12" applyNumberFormat="1" applyFont="1" applyAlignment="1">
      <alignment horizontal="center" vertical="center"/>
    </xf>
    <xf numFmtId="49" fontId="28" fillId="0" borderId="0" xfId="12" applyNumberFormat="1" applyFont="1">
      <alignment vertical="center"/>
    </xf>
    <xf numFmtId="49" fontId="25" fillId="0" borderId="0" xfId="12" applyNumberFormat="1" applyFont="1" applyAlignment="1">
      <alignment horizontal="left" vertical="center"/>
    </xf>
    <xf numFmtId="49" fontId="28" fillId="0" borderId="0" xfId="12" applyNumberFormat="1" applyFont="1" applyAlignment="1">
      <alignment horizontal="center" vertical="center"/>
    </xf>
    <xf numFmtId="49" fontId="28" fillId="0" borderId="0" xfId="12" applyNumberFormat="1" applyFont="1" applyAlignment="1">
      <alignment horizontal="left" vertical="center" indent="2"/>
    </xf>
    <xf numFmtId="49" fontId="28" fillId="0" borderId="0" xfId="12" applyNumberFormat="1" applyFont="1" applyAlignment="1">
      <alignment horizontal="right" vertical="center"/>
    </xf>
    <xf numFmtId="38" fontId="9" fillId="0" borderId="27" xfId="10" applyFont="1" applyBorder="1" applyAlignment="1"/>
    <xf numFmtId="0" fontId="3" fillId="0" borderId="18" xfId="0" applyFont="1" applyBorder="1"/>
    <xf numFmtId="38" fontId="9" fillId="0" borderId="7" xfId="1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38" fontId="9" fillId="0" borderId="9" xfId="10" applyFont="1" applyBorder="1" applyProtection="1">
      <protection locked="0"/>
    </xf>
    <xf numFmtId="38" fontId="9" fillId="0" borderId="60" xfId="10" applyFont="1" applyBorder="1" applyProtection="1">
      <protection locked="0"/>
    </xf>
    <xf numFmtId="38" fontId="9" fillId="0" borderId="61" xfId="1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38" fontId="0" fillId="0" borderId="5" xfId="10" applyFont="1" applyBorder="1" applyProtection="1">
      <protection locked="0"/>
    </xf>
    <xf numFmtId="38" fontId="8" fillId="0" borderId="9" xfId="10" applyFont="1" applyBorder="1" applyProtection="1">
      <protection locked="0"/>
    </xf>
    <xf numFmtId="38" fontId="8" fillId="0" borderId="60" xfId="10" applyFont="1" applyBorder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0" fillId="0" borderId="5" xfId="10" applyFont="1" applyBorder="1" applyProtection="1"/>
    <xf numFmtId="38" fontId="9" fillId="0" borderId="27" xfId="10" applyFont="1" applyBorder="1" applyProtection="1"/>
    <xf numFmtId="38" fontId="0" fillId="0" borderId="26" xfId="10" applyFont="1" applyBorder="1" applyProtection="1"/>
    <xf numFmtId="0" fontId="6" fillId="0" borderId="5" xfId="0" applyFont="1" applyBorder="1" applyAlignment="1" applyProtection="1">
      <alignment horizontal="center" vertical="center"/>
      <protection locked="0"/>
    </xf>
    <xf numFmtId="38" fontId="9" fillId="0" borderId="9" xfId="10" applyFont="1" applyBorder="1" applyAlignment="1" applyProtection="1">
      <protection locked="0"/>
    </xf>
    <xf numFmtId="38" fontId="0" fillId="0" borderId="6" xfId="10" applyFont="1" applyBorder="1" applyProtection="1"/>
    <xf numFmtId="38" fontId="0" fillId="0" borderId="5" xfId="10" applyFont="1" applyBorder="1" applyAlignment="1" applyProtection="1">
      <alignment horizontal="right"/>
    </xf>
    <xf numFmtId="38" fontId="0" fillId="0" borderId="0" xfId="10" applyFont="1" applyBorder="1" applyProtection="1"/>
    <xf numFmtId="38" fontId="9" fillId="0" borderId="3" xfId="0" applyNumberFormat="1" applyFont="1" applyBorder="1"/>
    <xf numFmtId="38" fontId="0" fillId="0" borderId="17" xfId="10" applyFont="1" applyBorder="1" applyProtection="1"/>
    <xf numFmtId="38" fontId="9" fillId="0" borderId="3" xfId="10" applyFont="1" applyBorder="1" applyProtection="1"/>
    <xf numFmtId="0" fontId="9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38" fontId="9" fillId="0" borderId="51" xfId="1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9" xfId="0" applyFont="1" applyBorder="1" applyProtection="1">
      <protection locked="0"/>
    </xf>
    <xf numFmtId="38" fontId="9" fillId="0" borderId="50" xfId="10" applyFont="1" applyBorder="1" applyProtection="1">
      <protection locked="0"/>
    </xf>
    <xf numFmtId="38" fontId="9" fillId="0" borderId="62" xfId="10" applyFont="1" applyBorder="1" applyProtection="1"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9" fillId="0" borderId="60" xfId="0" applyFont="1" applyBorder="1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38" fontId="3" fillId="0" borderId="12" xfId="10" applyFont="1" applyBorder="1" applyAlignment="1" applyProtection="1">
      <alignment horizontal="center"/>
      <protection locked="0"/>
    </xf>
    <xf numFmtId="38" fontId="3" fillId="0" borderId="5" xfId="10" applyFont="1" applyBorder="1" applyProtection="1">
      <protection locked="0"/>
    </xf>
    <xf numFmtId="38" fontId="3" fillId="0" borderId="12" xfId="10" applyFont="1" applyBorder="1" applyProtection="1">
      <protection locked="0"/>
    </xf>
    <xf numFmtId="38" fontId="3" fillId="0" borderId="6" xfId="10" applyFont="1" applyBorder="1" applyProtection="1">
      <protection locked="0"/>
    </xf>
    <xf numFmtId="0" fontId="9" fillId="0" borderId="64" xfId="0" applyFont="1" applyBorder="1" applyProtection="1">
      <protection locked="0"/>
    </xf>
    <xf numFmtId="38" fontId="3" fillId="0" borderId="13" xfId="1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9" fillId="0" borderId="66" xfId="0" applyFont="1" applyBorder="1" applyProtection="1">
      <protection locked="0"/>
    </xf>
    <xf numFmtId="0" fontId="9" fillId="0" borderId="67" xfId="0" applyFont="1" applyBorder="1" applyProtection="1">
      <protection locked="0"/>
    </xf>
    <xf numFmtId="38" fontId="3" fillId="0" borderId="5" xfId="1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distributed"/>
      <protection locked="0"/>
    </xf>
    <xf numFmtId="38" fontId="9" fillId="0" borderId="9" xfId="10" applyFont="1" applyBorder="1" applyAlignment="1" applyProtection="1">
      <alignment horizontal="distributed"/>
      <protection locked="0"/>
    </xf>
    <xf numFmtId="179" fontId="9" fillId="0" borderId="9" xfId="10" applyNumberFormat="1" applyFont="1" applyBorder="1" applyProtection="1">
      <protection locked="0"/>
    </xf>
    <xf numFmtId="0" fontId="9" fillId="0" borderId="61" xfId="0" applyFont="1" applyBorder="1" applyProtection="1">
      <protection locked="0"/>
    </xf>
    <xf numFmtId="179" fontId="9" fillId="0" borderId="9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38" fontId="9" fillId="0" borderId="34" xfId="10" applyFont="1" applyBorder="1" applyProtection="1">
      <protection locked="0"/>
    </xf>
    <xf numFmtId="0" fontId="6" fillId="0" borderId="17" xfId="0" applyFont="1" applyBorder="1"/>
    <xf numFmtId="180" fontId="6" fillId="0" borderId="17" xfId="0" applyNumberFormat="1" applyFont="1" applyBorder="1"/>
    <xf numFmtId="0" fontId="0" fillId="0" borderId="70" xfId="0" applyBorder="1" applyAlignment="1">
      <alignment horizontal="left" indent="1"/>
    </xf>
    <xf numFmtId="38" fontId="9" fillId="0" borderId="0" xfId="10" applyFont="1" applyBorder="1"/>
    <xf numFmtId="0" fontId="9" fillId="0" borderId="7" xfId="0" applyFont="1" applyBorder="1" applyAlignment="1" applyProtection="1">
      <alignment horizontal="right" wrapText="1" justifyLastLine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38" fontId="9" fillId="0" borderId="40" xfId="0" applyNumberFormat="1" applyFont="1" applyBorder="1"/>
    <xf numFmtId="38" fontId="9" fillId="0" borderId="55" xfId="0" applyNumberFormat="1" applyFont="1" applyBorder="1"/>
    <xf numFmtId="0" fontId="0" fillId="0" borderId="71" xfId="0" applyBorder="1" applyProtection="1">
      <protection locked="0"/>
    </xf>
    <xf numFmtId="0" fontId="0" fillId="0" borderId="72" xfId="0" applyBorder="1" applyProtection="1">
      <protection locked="0"/>
    </xf>
    <xf numFmtId="0" fontId="3" fillId="0" borderId="74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left" indent="1"/>
    </xf>
    <xf numFmtId="38" fontId="0" fillId="0" borderId="23" xfId="0" applyNumberFormat="1" applyBorder="1"/>
    <xf numFmtId="38" fontId="0" fillId="0" borderId="23" xfId="10" applyFont="1" applyBorder="1"/>
    <xf numFmtId="38" fontId="0" fillId="0" borderId="75" xfId="0" applyNumberFormat="1" applyBorder="1" applyAlignment="1">
      <alignment horizontal="center"/>
    </xf>
    <xf numFmtId="38" fontId="0" fillId="0" borderId="22" xfId="0" applyNumberFormat="1" applyBorder="1"/>
    <xf numFmtId="38" fontId="9" fillId="0" borderId="60" xfId="10" applyFont="1" applyBorder="1"/>
    <xf numFmtId="38" fontId="0" fillId="0" borderId="22" xfId="10" applyFont="1" applyBorder="1"/>
    <xf numFmtId="38" fontId="5" fillId="0" borderId="38" xfId="0" applyNumberFormat="1" applyFont="1" applyBorder="1"/>
    <xf numFmtId="0" fontId="0" fillId="0" borderId="15" xfId="0" applyBorder="1" applyProtection="1">
      <protection locked="0"/>
    </xf>
    <xf numFmtId="38" fontId="0" fillId="0" borderId="12" xfId="10" applyFont="1" applyBorder="1" applyProtection="1">
      <protection locked="0"/>
    </xf>
    <xf numFmtId="38" fontId="0" fillId="0" borderId="59" xfId="10" applyFont="1" applyBorder="1" applyProtection="1">
      <protection locked="0"/>
    </xf>
    <xf numFmtId="38" fontId="0" fillId="0" borderId="18" xfId="10" applyFont="1" applyBorder="1" applyProtection="1">
      <protection locked="0"/>
    </xf>
    <xf numFmtId="38" fontId="0" fillId="0" borderId="17" xfId="10" applyFont="1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38" fontId="0" fillId="0" borderId="0" xfId="10" applyFont="1" applyBorder="1" applyProtection="1">
      <protection locked="0"/>
    </xf>
    <xf numFmtId="38" fontId="0" fillId="0" borderId="5" xfId="10" applyFont="1" applyBorder="1" applyAlignment="1" applyProtection="1">
      <protection locked="0"/>
    </xf>
    <xf numFmtId="38" fontId="0" fillId="0" borderId="6" xfId="10" applyFont="1" applyBorder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38" fontId="0" fillId="0" borderId="5" xfId="10" applyFont="1" applyBorder="1" applyAlignment="1" applyProtection="1">
      <alignment horizontal="center"/>
      <protection locked="0"/>
    </xf>
    <xf numFmtId="3" fontId="9" fillId="0" borderId="9" xfId="0" applyNumberFormat="1" applyFont="1" applyBorder="1" applyAlignment="1" applyProtection="1">
      <alignment horizontal="right" wrapText="1" justifyLastLine="1"/>
      <protection locked="0"/>
    </xf>
    <xf numFmtId="3" fontId="9" fillId="0" borderId="9" xfId="0" applyNumberFormat="1" applyFont="1" applyBorder="1" applyAlignment="1" applyProtection="1">
      <alignment vertical="center" shrinkToFit="1"/>
      <protection locked="0"/>
    </xf>
    <xf numFmtId="38" fontId="9" fillId="0" borderId="5" xfId="10" applyFont="1" applyBorder="1" applyAlignment="1" applyProtection="1">
      <alignment horizontal="left"/>
      <protection locked="0"/>
    </xf>
    <xf numFmtId="38" fontId="0" fillId="0" borderId="18" xfId="10" applyFont="1" applyBorder="1" applyAlignment="1" applyProtection="1">
      <protection locked="0"/>
    </xf>
    <xf numFmtId="0" fontId="3" fillId="0" borderId="17" xfId="0" applyFont="1" applyBorder="1" applyProtection="1">
      <protection locked="0"/>
    </xf>
    <xf numFmtId="0" fontId="3" fillId="0" borderId="0" xfId="0" applyFont="1" applyProtection="1">
      <protection locked="0"/>
    </xf>
    <xf numFmtId="38" fontId="3" fillId="0" borderId="6" xfId="10" applyFont="1" applyBorder="1" applyAlignment="1" applyProtection="1">
      <alignment horizontal="center"/>
      <protection locked="0"/>
    </xf>
    <xf numFmtId="38" fontId="0" fillId="0" borderId="13" xfId="10" applyFont="1" applyBorder="1" applyProtection="1">
      <protection locked="0"/>
    </xf>
    <xf numFmtId="38" fontId="3" fillId="0" borderId="17" xfId="10" applyFont="1" applyBorder="1" applyAlignment="1" applyProtection="1">
      <alignment horizontal="center"/>
      <protection locked="0"/>
    </xf>
    <xf numFmtId="38" fontId="3" fillId="0" borderId="18" xfId="10" applyFont="1" applyBorder="1" applyAlignment="1" applyProtection="1">
      <alignment horizontal="center"/>
      <protection locked="0"/>
    </xf>
    <xf numFmtId="0" fontId="3" fillId="0" borderId="18" xfId="0" applyFont="1" applyBorder="1" applyProtection="1">
      <protection locked="0"/>
    </xf>
    <xf numFmtId="38" fontId="3" fillId="0" borderId="18" xfId="10" applyFont="1" applyBorder="1" applyProtection="1">
      <protection locked="0"/>
    </xf>
    <xf numFmtId="38" fontId="8" fillId="0" borderId="18" xfId="10" applyFont="1" applyBorder="1" applyProtection="1">
      <protection locked="0"/>
    </xf>
    <xf numFmtId="38" fontId="3" fillId="0" borderId="17" xfId="10" applyFont="1" applyBorder="1" applyProtection="1">
      <protection locked="0"/>
    </xf>
    <xf numFmtId="38" fontId="3" fillId="0" borderId="0" xfId="1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78" xfId="0" applyFont="1" applyBorder="1" applyAlignment="1" applyProtection="1">
      <alignment horizontal="center"/>
      <protection hidden="1"/>
    </xf>
    <xf numFmtId="0" fontId="3" fillId="0" borderId="79" xfId="0" applyFont="1" applyBorder="1" applyAlignment="1" applyProtection="1">
      <alignment horizontal="center"/>
      <protection hidden="1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82" xfId="0" applyBorder="1" applyProtection="1">
      <protection locked="0"/>
    </xf>
    <xf numFmtId="38" fontId="16" fillId="0" borderId="71" xfId="10" applyFont="1" applyBorder="1" applyProtection="1">
      <protection locked="0"/>
    </xf>
    <xf numFmtId="179" fontId="9" fillId="0" borderId="60" xfId="10" applyNumberFormat="1" applyFont="1" applyBorder="1" applyProtection="1">
      <protection locked="0"/>
    </xf>
    <xf numFmtId="38" fontId="9" fillId="0" borderId="51" xfId="0" applyNumberFormat="1" applyFont="1" applyBorder="1"/>
    <xf numFmtId="0" fontId="0" fillId="0" borderId="0" xfId="0" applyAlignment="1">
      <alignment horizontal="left" indent="1"/>
    </xf>
    <xf numFmtId="38" fontId="9" fillId="0" borderId="0" xfId="0" applyNumberFormat="1" applyFont="1"/>
    <xf numFmtId="0" fontId="5" fillId="0" borderId="0" xfId="0" applyFont="1" applyAlignment="1">
      <alignment horizontal="center"/>
    </xf>
    <xf numFmtId="38" fontId="9" fillId="0" borderId="0" xfId="10" applyFont="1" applyBorder="1" applyProtection="1">
      <protection locked="0"/>
    </xf>
    <xf numFmtId="38" fontId="0" fillId="0" borderId="0" xfId="10" applyFont="1" applyBorder="1" applyAlignment="1" applyProtection="1">
      <protection locked="0"/>
    </xf>
    <xf numFmtId="38" fontId="8" fillId="0" borderId="0" xfId="10" applyFont="1" applyBorder="1" applyAlignment="1" applyProtection="1">
      <protection locked="0"/>
    </xf>
    <xf numFmtId="38" fontId="0" fillId="0" borderId="0" xfId="10" applyFont="1" applyBorder="1" applyAlignment="1" applyProtection="1">
      <alignment horizontal="center"/>
      <protection locked="0"/>
    </xf>
    <xf numFmtId="38" fontId="9" fillId="0" borderId="0" xfId="10" applyFont="1" applyBorder="1" applyAlignment="1" applyProtection="1">
      <protection locked="0"/>
    </xf>
    <xf numFmtId="38" fontId="9" fillId="0" borderId="73" xfId="10" applyFont="1" applyBorder="1"/>
    <xf numFmtId="0" fontId="3" fillId="0" borderId="0" xfId="0" applyFont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>
      <alignment horizontal="center"/>
    </xf>
    <xf numFmtId="38" fontId="9" fillId="0" borderId="85" xfId="10" applyFont="1" applyBorder="1"/>
    <xf numFmtId="38" fontId="9" fillId="0" borderId="86" xfId="10" applyFont="1" applyBorder="1"/>
    <xf numFmtId="38" fontId="9" fillId="0" borderId="87" xfId="10" applyFont="1" applyBorder="1" applyProtection="1">
      <protection locked="0"/>
    </xf>
    <xf numFmtId="38" fontId="18" fillId="0" borderId="0" xfId="10" applyFont="1"/>
    <xf numFmtId="0" fontId="9" fillId="0" borderId="51" xfId="0" applyFont="1" applyBorder="1" applyProtection="1">
      <protection locked="0"/>
    </xf>
    <xf numFmtId="0" fontId="3" fillId="0" borderId="74" xfId="0" applyFont="1" applyBorder="1" applyProtection="1">
      <protection locked="0"/>
    </xf>
    <xf numFmtId="179" fontId="9" fillId="0" borderId="9" xfId="10" applyNumberFormat="1" applyFont="1" applyBorder="1" applyAlignment="1" applyProtection="1">
      <protection locked="0"/>
    </xf>
    <xf numFmtId="38" fontId="9" fillId="0" borderId="60" xfId="10" applyFont="1" applyBorder="1" applyAlignment="1" applyProtection="1">
      <protection locked="0"/>
    </xf>
    <xf numFmtId="179" fontId="9" fillId="0" borderId="60" xfId="10" applyNumberFormat="1" applyFont="1" applyBorder="1" applyAlignment="1" applyProtection="1">
      <protection locked="0"/>
    </xf>
    <xf numFmtId="38" fontId="0" fillId="0" borderId="5" xfId="10" applyFont="1" applyBorder="1" applyAlignment="1" applyProtection="1">
      <alignment horizontal="right"/>
      <protection locked="0"/>
    </xf>
    <xf numFmtId="38" fontId="3" fillId="0" borderId="27" xfId="10" applyFont="1" applyBorder="1"/>
    <xf numFmtId="38" fontId="0" fillId="0" borderId="6" xfId="10" applyFont="1" applyBorder="1" applyAlignment="1" applyProtection="1">
      <alignment horizontal="right"/>
    </xf>
    <xf numFmtId="38" fontId="9" fillId="0" borderId="83" xfId="10" applyFont="1" applyBorder="1"/>
    <xf numFmtId="0" fontId="0" fillId="0" borderId="83" xfId="0" applyBorder="1"/>
    <xf numFmtId="38" fontId="9" fillId="0" borderId="16" xfId="10" applyFont="1" applyBorder="1"/>
    <xf numFmtId="38" fontId="3" fillId="0" borderId="0" xfId="10" applyFont="1" applyBorder="1" applyAlignment="1">
      <alignment horizontal="center"/>
    </xf>
    <xf numFmtId="38" fontId="3" fillId="0" borderId="0" xfId="10" applyFont="1" applyBorder="1" applyProtection="1">
      <protection locked="0"/>
    </xf>
    <xf numFmtId="38" fontId="3" fillId="0" borderId="0" xfId="10" applyFont="1" applyBorder="1"/>
    <xf numFmtId="0" fontId="9" fillId="0" borderId="0" xfId="0" applyFont="1" applyProtection="1">
      <protection locked="0"/>
    </xf>
    <xf numFmtId="38" fontId="9" fillId="0" borderId="2" xfId="10" applyFont="1" applyBorder="1"/>
    <xf numFmtId="0" fontId="3" fillId="0" borderId="24" xfId="0" applyFont="1" applyBorder="1" applyProtection="1"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Protection="1">
      <protection locked="0"/>
    </xf>
    <xf numFmtId="38" fontId="3" fillId="0" borderId="74" xfId="10" applyFont="1" applyBorder="1" applyProtection="1">
      <protection locked="0"/>
    </xf>
    <xf numFmtId="0" fontId="9" fillId="0" borderId="96" xfId="0" applyFont="1" applyBorder="1" applyProtection="1">
      <protection locked="0"/>
    </xf>
    <xf numFmtId="38" fontId="9" fillId="0" borderId="18" xfId="10" applyFont="1" applyBorder="1"/>
    <xf numFmtId="38" fontId="3" fillId="0" borderId="30" xfId="10" applyFont="1" applyBorder="1"/>
    <xf numFmtId="38" fontId="8" fillId="0" borderId="26" xfId="10" applyFont="1" applyBorder="1"/>
    <xf numFmtId="0" fontId="3" fillId="0" borderId="101" xfId="0" applyFont="1" applyBorder="1" applyAlignment="1" applyProtection="1">
      <alignment horizontal="center"/>
      <protection hidden="1"/>
    </xf>
    <xf numFmtId="0" fontId="17" fillId="0" borderId="104" xfId="0" applyFont="1" applyBorder="1" applyAlignment="1" applyProtection="1">
      <alignment horizontal="center"/>
      <protection hidden="1"/>
    </xf>
    <xf numFmtId="0" fontId="17" fillId="0" borderId="101" xfId="0" applyFont="1" applyBorder="1" applyAlignment="1" applyProtection="1">
      <alignment horizontal="center"/>
      <protection hidden="1"/>
    </xf>
    <xf numFmtId="0" fontId="3" fillId="0" borderId="104" xfId="0" applyFont="1" applyBorder="1" applyAlignment="1" applyProtection="1">
      <alignment horizontal="center"/>
      <protection hidden="1"/>
    </xf>
    <xf numFmtId="0" fontId="3" fillId="0" borderId="110" xfId="0" applyFont="1" applyBorder="1" applyAlignment="1" applyProtection="1">
      <alignment horizontal="center"/>
      <protection hidden="1"/>
    </xf>
    <xf numFmtId="0" fontId="3" fillId="0" borderId="91" xfId="0" applyFont="1" applyBorder="1" applyAlignment="1" applyProtection="1">
      <alignment horizontal="center"/>
      <protection hidden="1"/>
    </xf>
    <xf numFmtId="0" fontId="17" fillId="0" borderId="117" xfId="0" applyFont="1" applyBorder="1" applyAlignment="1" applyProtection="1">
      <alignment horizontal="center"/>
      <protection hidden="1"/>
    </xf>
    <xf numFmtId="0" fontId="3" fillId="0" borderId="117" xfId="0" applyFont="1" applyBorder="1" applyAlignment="1" applyProtection="1">
      <alignment horizontal="center"/>
      <protection hidden="1"/>
    </xf>
    <xf numFmtId="0" fontId="17" fillId="0" borderId="110" xfId="0" applyFont="1" applyBorder="1" applyAlignment="1" applyProtection="1">
      <alignment horizontal="center"/>
      <protection hidden="1"/>
    </xf>
    <xf numFmtId="37" fontId="0" fillId="0" borderId="118" xfId="0" applyNumberFormat="1" applyBorder="1" applyProtection="1">
      <protection hidden="1"/>
    </xf>
    <xf numFmtId="38" fontId="16" fillId="0" borderId="119" xfId="10" applyFont="1" applyBorder="1" applyProtection="1"/>
    <xf numFmtId="38" fontId="18" fillId="0" borderId="120" xfId="10" applyFont="1" applyBorder="1" applyProtection="1">
      <protection locked="0"/>
    </xf>
    <xf numFmtId="38" fontId="18" fillId="0" borderId="71" xfId="10" applyFont="1" applyBorder="1" applyProtection="1">
      <protection locked="0"/>
    </xf>
    <xf numFmtId="38" fontId="18" fillId="0" borderId="72" xfId="10" applyFont="1" applyBorder="1" applyProtection="1">
      <protection locked="0"/>
    </xf>
    <xf numFmtId="38" fontId="0" fillId="0" borderId="0" xfId="10" applyFont="1" applyProtection="1">
      <protection locked="0"/>
    </xf>
    <xf numFmtId="38" fontId="0" fillId="0" borderId="14" xfId="10" applyFont="1" applyBorder="1"/>
    <xf numFmtId="38" fontId="9" fillId="0" borderId="61" xfId="10" applyFont="1" applyBorder="1" applyAlignment="1" applyProtection="1">
      <protection locked="0"/>
    </xf>
    <xf numFmtId="38" fontId="0" fillId="0" borderId="122" xfId="10" applyFont="1" applyBorder="1"/>
    <xf numFmtId="0" fontId="3" fillId="0" borderId="122" xfId="0" applyFont="1" applyBorder="1"/>
    <xf numFmtId="0" fontId="3" fillId="0" borderId="123" xfId="0" applyFont="1" applyBorder="1" applyProtection="1">
      <protection locked="0"/>
    </xf>
    <xf numFmtId="0" fontId="3" fillId="0" borderId="127" xfId="0" applyFont="1" applyBorder="1" applyProtection="1">
      <protection locked="0"/>
    </xf>
    <xf numFmtId="0" fontId="3" fillId="0" borderId="122" xfId="0" applyFont="1" applyBorder="1" applyProtection="1">
      <protection locked="0"/>
    </xf>
    <xf numFmtId="38" fontId="9" fillId="0" borderId="18" xfId="10" applyFont="1" applyBorder="1" applyProtection="1">
      <protection locked="0"/>
    </xf>
    <xf numFmtId="38" fontId="0" fillId="0" borderId="122" xfId="10" applyFont="1" applyBorder="1" applyAlignment="1"/>
    <xf numFmtId="38" fontId="9" fillId="0" borderId="134" xfId="10" applyFont="1" applyBorder="1" applyProtection="1"/>
    <xf numFmtId="38" fontId="9" fillId="0" borderId="135" xfId="10" applyFont="1" applyBorder="1" applyProtection="1"/>
    <xf numFmtId="38" fontId="9" fillId="0" borderId="136" xfId="10" applyFont="1" applyBorder="1" applyProtection="1"/>
    <xf numFmtId="38" fontId="9" fillId="0" borderId="134" xfId="10" applyFont="1" applyBorder="1" applyAlignment="1" applyProtection="1"/>
    <xf numFmtId="38" fontId="3" fillId="0" borderId="59" xfId="10" applyFont="1" applyBorder="1" applyProtection="1">
      <protection locked="0"/>
    </xf>
    <xf numFmtId="38" fontId="0" fillId="0" borderId="5" xfId="10" applyFont="1" applyFill="1" applyBorder="1" applyProtection="1">
      <protection locked="0"/>
    </xf>
    <xf numFmtId="0" fontId="0" fillId="0" borderId="137" xfId="0" applyBorder="1" applyAlignment="1">
      <alignment horizontal="center"/>
    </xf>
    <xf numFmtId="0" fontId="0" fillId="0" borderId="137" xfId="0" applyBorder="1"/>
    <xf numFmtId="0" fontId="0" fillId="0" borderId="138" xfId="0" applyBorder="1" applyAlignment="1">
      <alignment horizontal="center"/>
    </xf>
    <xf numFmtId="0" fontId="0" fillId="0" borderId="139" xfId="0" applyBorder="1"/>
    <xf numFmtId="0" fontId="0" fillId="0" borderId="140" xfId="0" applyBorder="1" applyAlignment="1">
      <alignment horizontal="center"/>
    </xf>
    <xf numFmtId="0" fontId="3" fillId="0" borderId="24" xfId="0" applyFont="1" applyBorder="1" applyAlignment="1">
      <alignment horizontal="distributed"/>
    </xf>
    <xf numFmtId="38" fontId="0" fillId="0" borderId="24" xfId="10" applyFont="1" applyBorder="1" applyAlignment="1">
      <alignment horizontal="distributed"/>
    </xf>
    <xf numFmtId="38" fontId="0" fillId="0" borderId="70" xfId="0" applyNumberFormat="1" applyBorder="1" applyAlignment="1">
      <alignment horizontal="center"/>
    </xf>
    <xf numFmtId="0" fontId="0" fillId="0" borderId="141" xfId="0" applyBorder="1"/>
    <xf numFmtId="38" fontId="9" fillId="0" borderId="62" xfId="10" applyFont="1" applyFill="1" applyBorder="1" applyProtection="1">
      <protection locked="0"/>
    </xf>
    <xf numFmtId="38" fontId="9" fillId="0" borderId="134" xfId="10" applyFont="1" applyBorder="1"/>
    <xf numFmtId="38" fontId="9" fillId="0" borderId="134" xfId="10" applyFont="1" applyBorder="1" applyAlignment="1"/>
    <xf numFmtId="38" fontId="9" fillId="0" borderId="135" xfId="0" applyNumberFormat="1" applyFont="1" applyBorder="1"/>
    <xf numFmtId="38" fontId="9" fillId="0" borderId="134" xfId="0" applyNumberFormat="1" applyFont="1" applyBorder="1"/>
    <xf numFmtId="38" fontId="9" fillId="0" borderId="3" xfId="0" applyNumberFormat="1" applyFont="1" applyBorder="1" applyProtection="1">
      <protection locked="0"/>
    </xf>
    <xf numFmtId="38" fontId="9" fillId="0" borderId="3" xfId="10" applyFont="1" applyBorder="1" applyProtection="1">
      <protection locked="0"/>
    </xf>
    <xf numFmtId="0" fontId="0" fillId="0" borderId="37" xfId="0" quotePrefix="1" applyBorder="1" applyAlignment="1">
      <alignment horizontal="left" indent="1"/>
    </xf>
    <xf numFmtId="0" fontId="5" fillId="0" borderId="33" xfId="0" applyFont="1" applyBorder="1" applyAlignment="1">
      <alignment horizontal="left" indent="1"/>
    </xf>
    <xf numFmtId="38" fontId="0" fillId="0" borderId="89" xfId="10" applyFont="1" applyBorder="1" applyProtection="1">
      <protection locked="0"/>
    </xf>
    <xf numFmtId="38" fontId="0" fillId="0" borderId="30" xfId="10" applyFont="1" applyBorder="1"/>
    <xf numFmtId="0" fontId="0" fillId="0" borderId="139" xfId="0" applyBorder="1" applyAlignment="1">
      <alignment horizontal="left"/>
    </xf>
    <xf numFmtId="0" fontId="0" fillId="0" borderId="143" xfId="0" applyBorder="1"/>
    <xf numFmtId="38" fontId="5" fillId="0" borderId="0" xfId="10" applyFont="1" applyBorder="1" applyAlignment="1"/>
    <xf numFmtId="38" fontId="9" fillId="0" borderId="0" xfId="10" applyFont="1" applyBorder="1" applyProtection="1"/>
    <xf numFmtId="0" fontId="0" fillId="0" borderId="0" xfId="0" applyAlignment="1">
      <alignment horizontal="left"/>
    </xf>
    <xf numFmtId="37" fontId="0" fillId="0" borderId="0" xfId="0" applyNumberFormat="1"/>
    <xf numFmtId="37" fontId="0" fillId="0" borderId="81" xfId="0" applyNumberFormat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vertical="top"/>
    </xf>
    <xf numFmtId="20" fontId="0" fillId="0" borderId="5" xfId="10" applyNumberFormat="1" applyFont="1" applyBorder="1" applyProtection="1">
      <protection locked="0"/>
    </xf>
    <xf numFmtId="38" fontId="0" fillId="0" borderId="12" xfId="1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justifyLastLine="1"/>
      <protection locked="0"/>
    </xf>
    <xf numFmtId="38" fontId="0" fillId="0" borderId="6" xfId="10" applyFont="1" applyBorder="1" applyAlignment="1" applyProtection="1">
      <protection locked="0"/>
    </xf>
    <xf numFmtId="38" fontId="0" fillId="0" borderId="5" xfId="10" applyFont="1" applyBorder="1" applyAlignment="1" applyProtection="1">
      <alignment horizontal="centerContinuous"/>
      <protection locked="0"/>
    </xf>
    <xf numFmtId="38" fontId="0" fillId="0" borderId="93" xfId="10" applyFont="1" applyBorder="1" applyProtection="1">
      <protection locked="0"/>
    </xf>
    <xf numFmtId="0" fontId="3" fillId="0" borderId="20" xfId="0" applyFont="1" applyBorder="1" applyAlignment="1">
      <alignment horizontal="distributed" justifyLastLine="1"/>
    </xf>
    <xf numFmtId="0" fontId="3" fillId="0" borderId="8" xfId="0" applyFont="1" applyBorder="1" applyAlignment="1">
      <alignment horizontal="distributed" justifyLastLine="1"/>
    </xf>
    <xf numFmtId="38" fontId="0" fillId="0" borderId="5" xfId="10" applyFont="1" applyBorder="1" applyAlignment="1" applyProtection="1"/>
    <xf numFmtId="38" fontId="0" fillId="0" borderId="13" xfId="10" applyFont="1" applyBorder="1" applyProtection="1"/>
    <xf numFmtId="38" fontId="0" fillId="0" borderId="12" xfId="10" applyFont="1" applyBorder="1" applyProtection="1"/>
    <xf numFmtId="38" fontId="0" fillId="0" borderId="95" xfId="10" applyFont="1" applyBorder="1" applyProtection="1"/>
    <xf numFmtId="38" fontId="0" fillId="0" borderId="69" xfId="10" applyFont="1" applyBorder="1" applyProtection="1"/>
    <xf numFmtId="38" fontId="0" fillId="0" borderId="6" xfId="10" applyFont="1" applyFill="1" applyBorder="1" applyProtection="1"/>
    <xf numFmtId="38" fontId="0" fillId="0" borderId="5" xfId="10" applyFont="1" applyFill="1" applyBorder="1" applyProtection="1"/>
    <xf numFmtId="38" fontId="0" fillId="0" borderId="69" xfId="10" applyFont="1" applyBorder="1" applyAlignment="1" applyProtection="1"/>
    <xf numFmtId="38" fontId="0" fillId="0" borderId="12" xfId="10" applyFont="1" applyBorder="1" applyAlignment="1" applyProtection="1"/>
    <xf numFmtId="0" fontId="3" fillId="0" borderId="104" xfId="0" applyFont="1" applyBorder="1" applyAlignment="1" applyProtection="1">
      <alignment horizontal="center"/>
      <protection locked="0" hidden="1"/>
    </xf>
    <xf numFmtId="0" fontId="3" fillId="0" borderId="77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7" fontId="0" fillId="0" borderId="77" xfId="0" applyNumberFormat="1" applyBorder="1"/>
    <xf numFmtId="0" fontId="0" fillId="0" borderId="78" xfId="0" applyBorder="1" applyAlignment="1">
      <alignment horizontal="center"/>
    </xf>
    <xf numFmtId="37" fontId="0" fillId="0" borderId="78" xfId="0" applyNumberFormat="1" applyBorder="1"/>
    <xf numFmtId="37" fontId="0" fillId="0" borderId="91" xfId="0" applyNumberFormat="1" applyBorder="1"/>
    <xf numFmtId="37" fontId="0" fillId="0" borderId="90" xfId="0" applyNumberFormat="1" applyBorder="1"/>
    <xf numFmtId="0" fontId="0" fillId="0" borderId="78" xfId="0" applyBorder="1"/>
    <xf numFmtId="0" fontId="0" fillId="0" borderId="91" xfId="0" applyBorder="1"/>
    <xf numFmtId="0" fontId="0" fillId="0" borderId="79" xfId="0" applyBorder="1"/>
    <xf numFmtId="37" fontId="0" fillId="0" borderId="79" xfId="0" applyNumberFormat="1" applyBorder="1"/>
    <xf numFmtId="0" fontId="0" fillId="0" borderId="107" xfId="0" applyBorder="1"/>
    <xf numFmtId="37" fontId="0" fillId="0" borderId="107" xfId="0" applyNumberFormat="1" applyBorder="1"/>
    <xf numFmtId="0" fontId="0" fillId="0" borderId="114" xfId="0" applyBorder="1"/>
    <xf numFmtId="37" fontId="0" fillId="0" borderId="114" xfId="0" applyNumberFormat="1" applyBorder="1"/>
    <xf numFmtId="38" fontId="18" fillId="0" borderId="91" xfId="10" applyFont="1" applyBorder="1" applyProtection="1"/>
    <xf numFmtId="0" fontId="3" fillId="0" borderId="113" xfId="0" applyFont="1" applyBorder="1" applyAlignment="1">
      <alignment horizontal="center"/>
    </xf>
    <xf numFmtId="0" fontId="3" fillId="0" borderId="105" xfId="0" applyFont="1" applyBorder="1" applyAlignment="1">
      <alignment horizontal="center"/>
    </xf>
    <xf numFmtId="0" fontId="0" fillId="0" borderId="116" xfId="0" applyBorder="1"/>
    <xf numFmtId="37" fontId="0" fillId="0" borderId="116" xfId="0" applyNumberFormat="1" applyBorder="1"/>
    <xf numFmtId="0" fontId="0" fillId="0" borderId="91" xfId="0" applyBorder="1" applyProtection="1">
      <protection locked="0"/>
    </xf>
    <xf numFmtId="38" fontId="18" fillId="0" borderId="91" xfId="10" applyFont="1" applyBorder="1" applyProtection="1">
      <protection locked="0"/>
    </xf>
    <xf numFmtId="0" fontId="0" fillId="0" borderId="79" xfId="0" applyBorder="1" applyProtection="1">
      <protection locked="0"/>
    </xf>
    <xf numFmtId="38" fontId="18" fillId="0" borderId="79" xfId="10" applyFont="1" applyBorder="1" applyProtection="1">
      <protection locked="0"/>
    </xf>
    <xf numFmtId="0" fontId="0" fillId="4" borderId="22" xfId="0" applyFill="1" applyBorder="1" applyAlignment="1">
      <alignment horizontal="distributed" justifyLastLine="1"/>
    </xf>
    <xf numFmtId="0" fontId="0" fillId="0" borderId="8" xfId="0" applyBorder="1" applyAlignment="1">
      <alignment horizontal="distributed" justifyLastLine="1"/>
    </xf>
    <xf numFmtId="0" fontId="0" fillId="4" borderId="8" xfId="0" applyFill="1" applyBorder="1" applyAlignment="1">
      <alignment horizontal="distributed" justifyLastLine="1"/>
    </xf>
    <xf numFmtId="0" fontId="0" fillId="0" borderId="34" xfId="0" applyBorder="1" applyAlignment="1">
      <alignment horizontal="center"/>
    </xf>
    <xf numFmtId="38" fontId="3" fillId="0" borderId="6" xfId="10" applyFont="1" applyBorder="1" applyAlignment="1" applyProtection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0" xfId="0" applyBorder="1" applyAlignment="1">
      <alignment horizontal="distributed" shrinkToFit="1"/>
    </xf>
    <xf numFmtId="0" fontId="0" fillId="0" borderId="8" xfId="0" applyBorder="1" applyAlignment="1">
      <alignment horizontal="distributed" shrinkToFit="1"/>
    </xf>
    <xf numFmtId="38" fontId="9" fillId="0" borderId="27" xfId="0" applyNumberFormat="1" applyFont="1" applyBorder="1"/>
    <xf numFmtId="0" fontId="3" fillId="0" borderId="5" xfId="0" applyFont="1" applyBorder="1"/>
    <xf numFmtId="38" fontId="9" fillId="0" borderId="51" xfId="10" applyFont="1" applyBorder="1" applyProtection="1"/>
    <xf numFmtId="179" fontId="9" fillId="0" borderId="134" xfId="10" applyNumberFormat="1" applyFont="1" applyBorder="1" applyAlignment="1" applyProtection="1">
      <protection locked="0"/>
    </xf>
    <xf numFmtId="38" fontId="9" fillId="0" borderId="27" xfId="10" applyFont="1" applyBorder="1" applyProtection="1">
      <protection locked="0"/>
    </xf>
    <xf numFmtId="38" fontId="9" fillId="0" borderId="5" xfId="10" applyFont="1" applyBorder="1"/>
    <xf numFmtId="38" fontId="9" fillId="0" borderId="12" xfId="10" applyFont="1" applyBorder="1" applyProtection="1"/>
    <xf numFmtId="0" fontId="8" fillId="0" borderId="60" xfId="0" applyFont="1" applyBorder="1" applyProtection="1">
      <protection locked="0"/>
    </xf>
    <xf numFmtId="0" fontId="8" fillId="0" borderId="9" xfId="0" applyFont="1" applyBorder="1" applyProtection="1">
      <protection locked="0"/>
    </xf>
    <xf numFmtId="38" fontId="9" fillId="0" borderId="63" xfId="10" applyFont="1" applyBorder="1"/>
    <xf numFmtId="38" fontId="9" fillId="0" borderId="7" xfId="10" applyFont="1" applyBorder="1" applyProtection="1"/>
    <xf numFmtId="38" fontId="9" fillId="0" borderId="9" xfId="10" applyFont="1" applyBorder="1" applyProtection="1"/>
    <xf numFmtId="0" fontId="3" fillId="0" borderId="22" xfId="0" applyFont="1" applyBorder="1" applyAlignment="1">
      <alignment horizontal="distributed" shrinkToFit="1"/>
    </xf>
    <xf numFmtId="38" fontId="9" fillId="0" borderId="134" xfId="0" applyNumberFormat="1" applyFont="1" applyBorder="1" applyProtection="1">
      <protection locked="0"/>
    </xf>
    <xf numFmtId="38" fontId="9" fillId="0" borderId="134" xfId="10" applyFont="1" applyBorder="1" applyAlignment="1" applyProtection="1">
      <protection locked="0"/>
    </xf>
    <xf numFmtId="0" fontId="5" fillId="0" borderId="73" xfId="0" applyFont="1" applyBorder="1" applyProtection="1">
      <protection locked="0"/>
    </xf>
    <xf numFmtId="38" fontId="9" fillId="0" borderId="17" xfId="10" applyFont="1" applyBorder="1" applyAlignment="1" applyProtection="1">
      <alignment horizontal="center"/>
      <protection locked="0"/>
    </xf>
    <xf numFmtId="37" fontId="16" fillId="0" borderId="98" xfId="0" applyNumberFormat="1" applyFont="1" applyBorder="1"/>
    <xf numFmtId="37" fontId="16" fillId="0" borderId="100" xfId="0" applyNumberFormat="1" applyFont="1" applyBorder="1"/>
    <xf numFmtId="37" fontId="16" fillId="0" borderId="103" xfId="0" applyNumberFormat="1" applyFont="1" applyBorder="1"/>
    <xf numFmtId="37" fontId="16" fillId="0" borderId="109" xfId="0" applyNumberFormat="1" applyFont="1" applyBorder="1"/>
    <xf numFmtId="37" fontId="16" fillId="0" borderId="142" xfId="0" applyNumberFormat="1" applyFont="1" applyBorder="1"/>
    <xf numFmtId="37" fontId="16" fillId="0" borderId="108" xfId="0" applyNumberFormat="1" applyFont="1" applyBorder="1"/>
    <xf numFmtId="37" fontId="16" fillId="0" borderId="112" xfId="0" applyNumberFormat="1" applyFont="1" applyBorder="1"/>
    <xf numFmtId="37" fontId="16" fillId="0" borderId="115" xfId="0" applyNumberFormat="1" applyFont="1" applyBorder="1"/>
    <xf numFmtId="37" fontId="9" fillId="0" borderId="78" xfId="0" applyNumberFormat="1" applyFont="1" applyBorder="1"/>
    <xf numFmtId="38" fontId="16" fillId="0" borderId="103" xfId="10" applyFont="1" applyBorder="1" applyProtection="1"/>
    <xf numFmtId="38" fontId="9" fillId="0" borderId="34" xfId="10" applyFont="1" applyBorder="1" applyProtection="1"/>
    <xf numFmtId="0" fontId="33" fillId="0" borderId="97" xfId="13" applyFont="1" applyBorder="1" applyAlignment="1" applyProtection="1">
      <alignment horizontal="left"/>
    </xf>
    <xf numFmtId="0" fontId="33" fillId="0" borderId="99" xfId="13" applyFont="1" applyBorder="1" applyAlignment="1" applyProtection="1">
      <alignment horizontal="left"/>
    </xf>
    <xf numFmtId="0" fontId="33" fillId="0" borderId="102" xfId="13" applyFont="1" applyBorder="1" applyAlignment="1" applyProtection="1">
      <alignment horizontal="left"/>
    </xf>
    <xf numFmtId="0" fontId="33" fillId="0" borderId="78" xfId="13" applyFont="1" applyBorder="1" applyAlignment="1" applyProtection="1">
      <alignment horizontal="left"/>
    </xf>
    <xf numFmtId="0" fontId="33" fillId="0" borderId="79" xfId="13" applyFont="1" applyBorder="1" applyAlignment="1" applyProtection="1">
      <alignment horizontal="left"/>
    </xf>
    <xf numFmtId="0" fontId="33" fillId="0" borderId="106" xfId="13" applyFont="1" applyBorder="1" applyAlignment="1" applyProtection="1">
      <alignment shrinkToFit="1"/>
    </xf>
    <xf numFmtId="0" fontId="33" fillId="0" borderId="99" xfId="13" applyFont="1" applyBorder="1" applyAlignment="1" applyProtection="1"/>
    <xf numFmtId="0" fontId="33" fillId="0" borderId="99" xfId="13" applyFont="1" applyBorder="1" applyAlignment="1" applyProtection="1">
      <alignment shrinkToFit="1"/>
    </xf>
    <xf numFmtId="0" fontId="33" fillId="0" borderId="102" xfId="13" applyFont="1" applyBorder="1" applyAlignment="1" applyProtection="1"/>
    <xf numFmtId="0" fontId="33" fillId="0" borderId="78" xfId="13" applyFont="1" applyBorder="1" applyAlignment="1" applyProtection="1"/>
    <xf numFmtId="0" fontId="33" fillId="0" borderId="111" xfId="13" applyFont="1" applyBorder="1" applyAlignment="1" applyProtection="1"/>
    <xf numFmtId="0" fontId="33" fillId="0" borderId="114" xfId="13" applyFont="1" applyBorder="1" applyAlignment="1" applyProtection="1"/>
    <xf numFmtId="0" fontId="33" fillId="0" borderId="91" xfId="13" applyFont="1" applyBorder="1" applyAlignment="1" applyProtection="1"/>
    <xf numFmtId="0" fontId="33" fillId="0" borderId="90" xfId="13" applyFont="1" applyBorder="1" applyAlignment="1" applyProtection="1"/>
    <xf numFmtId="0" fontId="33" fillId="0" borderId="107" xfId="13" applyFont="1" applyBorder="1" applyAlignment="1" applyProtection="1"/>
    <xf numFmtId="0" fontId="33" fillId="0" borderId="116" xfId="13" applyFont="1" applyBorder="1" applyAlignment="1" applyProtection="1"/>
    <xf numFmtId="0" fontId="33" fillId="0" borderId="78" xfId="13" applyFont="1" applyFill="1" applyBorder="1" applyAlignment="1" applyProtection="1"/>
    <xf numFmtId="0" fontId="34" fillId="0" borderId="8" xfId="0" applyFont="1" applyBorder="1" applyAlignment="1">
      <alignment horizontal="distributed" justifyLastLine="1"/>
    </xf>
    <xf numFmtId="38" fontId="9" fillId="0" borderId="2" xfId="0" applyNumberFormat="1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distributed" justifyLastLine="1"/>
    </xf>
    <xf numFmtId="0" fontId="0" fillId="0" borderId="8" xfId="0" applyBorder="1" applyAlignment="1">
      <alignment horizontal="distributed" wrapText="1"/>
    </xf>
    <xf numFmtId="0" fontId="3" fillId="0" borderId="23" xfId="0" applyFont="1" applyBorder="1" applyAlignment="1">
      <alignment horizontal="distributed"/>
    </xf>
    <xf numFmtId="0" fontId="3" fillId="0" borderId="8" xfId="0" applyFont="1" applyBorder="1" applyAlignment="1">
      <alignment horizontal="distributed" wrapText="1"/>
    </xf>
    <xf numFmtId="0" fontId="3" fillId="0" borderId="23" xfId="0" applyFont="1" applyBorder="1" applyAlignment="1">
      <alignment horizontal="distributed" justifyLastLine="1"/>
    </xf>
    <xf numFmtId="38" fontId="0" fillId="0" borderId="5" xfId="10" applyFont="1" applyBorder="1" applyAlignment="1" applyProtection="1">
      <alignment horizontal="center"/>
    </xf>
    <xf numFmtId="179" fontId="9" fillId="0" borderId="134" xfId="10" applyNumberFormat="1" applyFont="1" applyBorder="1" applyProtection="1"/>
    <xf numFmtId="0" fontId="0" fillId="0" borderId="22" xfId="0" applyBorder="1" applyAlignment="1">
      <alignment horizontal="distributed" wrapText="1"/>
    </xf>
    <xf numFmtId="0" fontId="17" fillId="0" borderId="22" xfId="0" applyFont="1" applyBorder="1" applyAlignment="1">
      <alignment horizontal="distributed"/>
    </xf>
    <xf numFmtId="0" fontId="0" fillId="0" borderId="23" xfId="0" applyBorder="1" applyAlignment="1">
      <alignment horizontal="distributed"/>
    </xf>
    <xf numFmtId="0" fontId="17" fillId="0" borderId="8" xfId="0" applyFont="1" applyBorder="1" applyAlignment="1">
      <alignment horizontal="distributed" justifyLastLine="1"/>
    </xf>
    <xf numFmtId="38" fontId="0" fillId="0" borderId="59" xfId="10" applyFont="1" applyBorder="1" applyProtection="1"/>
    <xf numFmtId="38" fontId="9" fillId="0" borderId="61" xfId="10" applyFont="1" applyBorder="1" applyProtection="1"/>
    <xf numFmtId="0" fontId="17" fillId="0" borderId="8" xfId="0" applyFont="1" applyBorder="1" applyAlignment="1">
      <alignment horizontal="distributed"/>
    </xf>
    <xf numFmtId="38" fontId="9" fillId="0" borderId="60" xfId="10" applyFont="1" applyBorder="1" applyProtection="1"/>
    <xf numFmtId="38" fontId="0" fillId="0" borderId="59" xfId="10" applyFont="1" applyBorder="1"/>
    <xf numFmtId="0" fontId="0" fillId="0" borderId="22" xfId="0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0" fillId="0" borderId="18" xfId="0" applyBorder="1" applyAlignment="1">
      <alignment horizontal="distributed" justifyLastLine="1"/>
    </xf>
    <xf numFmtId="0" fontId="4" fillId="0" borderId="0" xfId="13" applyFont="1" applyAlignment="1" applyProtection="1"/>
    <xf numFmtId="0" fontId="15" fillId="0" borderId="0" xfId="0" applyFont="1" applyAlignment="1" applyProtection="1">
      <alignment horizontal="center"/>
      <protection locked="0"/>
    </xf>
    <xf numFmtId="0" fontId="15" fillId="0" borderId="41" xfId="0" applyFont="1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38" fontId="9" fillId="0" borderId="61" xfId="10" applyFont="1" applyBorder="1"/>
    <xf numFmtId="38" fontId="9" fillId="0" borderId="0" xfId="10" applyFont="1" applyBorder="1" applyAlignment="1"/>
    <xf numFmtId="38" fontId="9" fillId="0" borderId="153" xfId="10" applyFont="1" applyBorder="1"/>
    <xf numFmtId="179" fontId="9" fillId="0" borderId="0" xfId="10" applyNumberFormat="1" applyFont="1" applyBorder="1" applyAlignment="1" applyProtection="1">
      <protection locked="0"/>
    </xf>
    <xf numFmtId="0" fontId="9" fillId="0" borderId="60" xfId="0" applyFont="1" applyBorder="1"/>
    <xf numFmtId="179" fontId="9" fillId="0" borderId="34" xfId="10" applyNumberFormat="1" applyFont="1" applyBorder="1" applyAlignment="1" applyProtection="1">
      <protection locked="0"/>
    </xf>
    <xf numFmtId="179" fontId="9" fillId="0" borderId="0" xfId="0" applyNumberFormat="1" applyFont="1" applyProtection="1">
      <protection locked="0"/>
    </xf>
    <xf numFmtId="38" fontId="9" fillId="0" borderId="34" xfId="10" applyFont="1" applyBorder="1" applyAlignment="1" applyProtection="1">
      <protection locked="0"/>
    </xf>
    <xf numFmtId="0" fontId="9" fillId="0" borderId="0" xfId="0" applyFont="1" applyAlignment="1">
      <alignment horizontal="center"/>
    </xf>
    <xf numFmtId="38" fontId="9" fillId="0" borderId="9" xfId="10" applyFont="1" applyBorder="1" applyAlignment="1" applyProtection="1"/>
    <xf numFmtId="0" fontId="17" fillId="0" borderId="154" xfId="0" applyFont="1" applyBorder="1" applyAlignment="1" applyProtection="1">
      <alignment horizontal="center"/>
      <protection hidden="1"/>
    </xf>
    <xf numFmtId="0" fontId="33" fillId="0" borderId="97" xfId="13" applyFont="1" applyBorder="1" applyAlignment="1" applyProtection="1"/>
    <xf numFmtId="0" fontId="0" fillId="0" borderId="77" xfId="0" applyBorder="1"/>
    <xf numFmtId="37" fontId="16" fillId="0" borderId="155" xfId="0" applyNumberFormat="1" applyFont="1" applyBorder="1"/>
    <xf numFmtId="37" fontId="16" fillId="0" borderId="156" xfId="0" applyNumberFormat="1" applyFont="1" applyBorder="1"/>
    <xf numFmtId="37" fontId="16" fillId="0" borderId="157" xfId="0" applyNumberFormat="1" applyFont="1" applyBorder="1"/>
    <xf numFmtId="37" fontId="16" fillId="0" borderId="158" xfId="0" applyNumberFormat="1" applyFont="1" applyBorder="1"/>
    <xf numFmtId="38" fontId="35" fillId="0" borderId="157" xfId="10" applyFont="1" applyBorder="1" applyProtection="1"/>
    <xf numFmtId="37" fontId="16" fillId="0" borderId="159" xfId="0" applyNumberFormat="1" applyFont="1" applyBorder="1"/>
    <xf numFmtId="38" fontId="24" fillId="0" borderId="157" xfId="10" applyFont="1" applyBorder="1" applyProtection="1"/>
    <xf numFmtId="38" fontId="24" fillId="0" borderId="142" xfId="10" applyFont="1" applyBorder="1" applyProtection="1"/>
    <xf numFmtId="0" fontId="0" fillId="0" borderId="79" xfId="0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Protection="1">
      <protection locked="0"/>
    </xf>
    <xf numFmtId="38" fontId="36" fillId="0" borderId="0" xfId="10" applyFont="1" applyBorder="1" applyAlignment="1"/>
    <xf numFmtId="0" fontId="0" fillId="0" borderId="8" xfId="0" applyBorder="1" applyAlignment="1">
      <alignment horizontal="distributed"/>
    </xf>
    <xf numFmtId="184" fontId="17" fillId="0" borderId="0" xfId="0" applyNumberFormat="1" applyFont="1"/>
    <xf numFmtId="38" fontId="0" fillId="0" borderId="13" xfId="10" applyFont="1" applyBorder="1" applyAlignment="1" applyProtection="1">
      <alignment horizontal="center"/>
    </xf>
    <xf numFmtId="0" fontId="33" fillId="0" borderId="79" xfId="13" applyFont="1" applyBorder="1" applyAlignment="1" applyProtection="1"/>
    <xf numFmtId="38" fontId="0" fillId="0" borderId="13" xfId="10" applyFont="1" applyBorder="1" applyAlignment="1" applyProtection="1">
      <alignment horizontal="center"/>
      <protection locked="0"/>
    </xf>
    <xf numFmtId="38" fontId="0" fillId="0" borderId="12" xfId="10" applyFont="1" applyBorder="1" applyAlignment="1" applyProtection="1">
      <alignment horizontal="center"/>
    </xf>
    <xf numFmtId="38" fontId="0" fillId="0" borderId="6" xfId="10" applyFont="1" applyBorder="1" applyAlignment="1" applyProtection="1">
      <alignment horizontal="center"/>
    </xf>
    <xf numFmtId="0" fontId="3" fillId="0" borderId="8" xfId="0" applyFont="1" applyBorder="1" applyAlignment="1">
      <alignment horizontal="center"/>
    </xf>
    <xf numFmtId="38" fontId="0" fillId="0" borderId="6" xfId="1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29" xfId="0" applyBorder="1"/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distributed" wrapText="1" justifyLastLine="1"/>
    </xf>
    <xf numFmtId="0" fontId="0" fillId="0" borderId="24" xfId="0" applyBorder="1" applyAlignment="1">
      <alignment horizontal="distributed"/>
    </xf>
    <xf numFmtId="0" fontId="0" fillId="0" borderId="34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73" xfId="0" applyBorder="1" applyAlignment="1">
      <alignment horizontal="distributed"/>
    </xf>
    <xf numFmtId="0" fontId="0" fillId="0" borderId="17" xfId="0" applyBorder="1" applyAlignment="1">
      <alignment horizontal="distributed" justifyLastLine="1"/>
    </xf>
    <xf numFmtId="0" fontId="0" fillId="0" borderId="17" xfId="0" applyBorder="1" applyAlignment="1">
      <alignment horizontal="distributed"/>
    </xf>
    <xf numFmtId="0" fontId="0" fillId="0" borderId="20" xfId="0" applyBorder="1" applyAlignment="1">
      <alignment horizontal="distributed" wrapText="1" justifyLastLine="1"/>
    </xf>
    <xf numFmtId="0" fontId="0" fillId="0" borderId="6" xfId="0" applyBorder="1" applyProtection="1">
      <protection locked="0"/>
    </xf>
    <xf numFmtId="0" fontId="0" fillId="0" borderId="8" xfId="0" applyBorder="1" applyAlignment="1" applyProtection="1">
      <alignment horizontal="distributed" justifyLastLine="1"/>
      <protection locked="0"/>
    </xf>
    <xf numFmtId="0" fontId="0" fillId="0" borderId="10" xfId="0" applyBorder="1" applyProtection="1">
      <protection locked="0"/>
    </xf>
    <xf numFmtId="0" fontId="0" fillId="0" borderId="8" xfId="0" applyBorder="1" applyAlignment="1">
      <alignment horizontal="distributed" wrapText="1" justifyLastLine="1"/>
    </xf>
    <xf numFmtId="0" fontId="0" fillId="0" borderId="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8" xfId="0" applyBorder="1" applyAlignment="1" applyProtection="1">
      <alignment horizontal="distributed" wrapText="1" justifyLastLine="1"/>
      <protection locked="0"/>
    </xf>
    <xf numFmtId="0" fontId="0" fillId="0" borderId="22" xfId="0" applyBorder="1" applyAlignment="1" applyProtection="1">
      <alignment horizontal="distributed" wrapText="1" justifyLastLine="1"/>
      <protection locked="0"/>
    </xf>
    <xf numFmtId="0" fontId="0" fillId="0" borderId="12" xfId="0" applyBorder="1" applyProtection="1">
      <protection locked="0"/>
    </xf>
    <xf numFmtId="0" fontId="0" fillId="0" borderId="22" xfId="0" applyBorder="1" applyAlignment="1" applyProtection="1">
      <alignment horizontal="distributed" justifyLastLine="1"/>
      <protection locked="0"/>
    </xf>
    <xf numFmtId="0" fontId="0" fillId="0" borderId="25" xfId="0" applyBorder="1" applyAlignment="1">
      <alignment horizontal="distributed" wrapText="1" justifyLastLine="1"/>
    </xf>
    <xf numFmtId="0" fontId="0" fillId="0" borderId="26" xfId="0" applyBorder="1"/>
    <xf numFmtId="0" fontId="0" fillId="0" borderId="25" xfId="0" applyBorder="1" applyAlignment="1">
      <alignment horizontal="distributed" justifyLastLine="1"/>
    </xf>
    <xf numFmtId="38" fontId="0" fillId="0" borderId="28" xfId="0" applyNumberFormat="1" applyBorder="1"/>
    <xf numFmtId="0" fontId="0" fillId="0" borderId="18" xfId="0" applyBorder="1" applyAlignment="1" applyProtection="1">
      <alignment horizontal="distributed" wrapText="1" justifyLastLine="1"/>
      <protection locked="0"/>
    </xf>
    <xf numFmtId="0" fontId="0" fillId="0" borderId="18" xfId="0" applyBorder="1" applyProtection="1">
      <protection locked="0"/>
    </xf>
    <xf numFmtId="0" fontId="0" fillId="0" borderId="3" xfId="0" applyBorder="1" applyAlignment="1">
      <alignment horizontal="distributed" justifyLastLine="1"/>
    </xf>
    <xf numFmtId="0" fontId="0" fillId="0" borderId="17" xfId="0" applyBorder="1" applyAlignment="1" applyProtection="1">
      <alignment horizontal="left" justifyLastLine="1"/>
      <protection locked="0"/>
    </xf>
    <xf numFmtId="0" fontId="0" fillId="0" borderId="0" xfId="0" applyAlignment="1">
      <alignment horizontal="left" justifyLastLine="1"/>
    </xf>
    <xf numFmtId="0" fontId="0" fillId="0" borderId="17" xfId="0" applyBorder="1" applyAlignment="1">
      <alignment horizontal="left" justifyLastLine="1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8" xfId="0" applyBorder="1" applyAlignment="1" applyProtection="1">
      <alignment shrinkToFit="1"/>
      <protection locked="0"/>
    </xf>
    <xf numFmtId="0" fontId="0" fillId="0" borderId="12" xfId="0" applyBorder="1" applyAlignment="1" applyProtection="1">
      <alignment horizontal="center"/>
      <protection locked="0"/>
    </xf>
    <xf numFmtId="38" fontId="0" fillId="0" borderId="26" xfId="0" applyNumberFormat="1" applyBorder="1"/>
    <xf numFmtId="0" fontId="0" fillId="0" borderId="26" xfId="0" applyBorder="1" applyAlignment="1">
      <alignment horizontal="center"/>
    </xf>
    <xf numFmtId="0" fontId="0" fillId="0" borderId="0" xfId="0" applyAlignment="1" applyProtection="1">
      <alignment horizontal="distributed" justifyLastLine="1"/>
      <protection locked="0"/>
    </xf>
    <xf numFmtId="0" fontId="0" fillId="0" borderId="0" xfId="0" applyAlignment="1" applyProtection="1">
      <alignment horizontal="left" justifyLastLine="1"/>
      <protection locked="0"/>
    </xf>
    <xf numFmtId="0" fontId="0" fillId="0" borderId="0" xfId="0" applyAlignment="1" applyProtection="1">
      <alignment horizontal="distributed" wrapText="1" justifyLastLine="1"/>
      <protection locked="0"/>
    </xf>
    <xf numFmtId="0" fontId="0" fillId="0" borderId="20" xfId="0" applyBorder="1" applyAlignment="1" applyProtection="1">
      <alignment horizontal="distributed"/>
      <protection locked="0"/>
    </xf>
    <xf numFmtId="0" fontId="0" fillId="0" borderId="7" xfId="0" applyBorder="1" applyProtection="1">
      <protection locked="0"/>
    </xf>
    <xf numFmtId="38" fontId="0" fillId="0" borderId="13" xfId="10" applyFont="1" applyBorder="1" applyAlignment="1" applyProtection="1">
      <alignment horizontal="right"/>
    </xf>
    <xf numFmtId="0" fontId="0" fillId="0" borderId="13" xfId="0" applyBorder="1" applyProtection="1">
      <protection locked="0"/>
    </xf>
    <xf numFmtId="0" fontId="0" fillId="0" borderId="5" xfId="0" applyBorder="1"/>
    <xf numFmtId="0" fontId="0" fillId="0" borderId="8" xfId="0" applyBorder="1" applyAlignment="1" applyProtection="1">
      <alignment horizontal="distributed"/>
      <protection locked="0"/>
    </xf>
    <xf numFmtId="38" fontId="0" fillId="0" borderId="5" xfId="0" applyNumberFormat="1" applyBorder="1" applyProtection="1">
      <protection locked="0"/>
    </xf>
    <xf numFmtId="179" fontId="0" fillId="0" borderId="0" xfId="10" applyNumberFormat="1" applyFont="1" applyBorder="1" applyAlignment="1" applyProtection="1">
      <protection locked="0"/>
    </xf>
    <xf numFmtId="0" fontId="0" fillId="0" borderId="76" xfId="0" applyBorder="1" applyAlignment="1" applyProtection="1">
      <alignment horizontal="distributed"/>
      <protection locked="0"/>
    </xf>
    <xf numFmtId="0" fontId="0" fillId="0" borderId="7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1" xfId="0" applyBorder="1" applyAlignment="1">
      <alignment horizontal="distributed"/>
    </xf>
    <xf numFmtId="0" fontId="0" fillId="0" borderId="122" xfId="0" applyBorder="1"/>
    <xf numFmtId="0" fontId="0" fillId="0" borderId="23" xfId="0" applyBorder="1" applyAlignment="1" applyProtection="1">
      <alignment horizontal="distributed"/>
      <protection locked="0"/>
    </xf>
    <xf numFmtId="0" fontId="0" fillId="0" borderId="22" xfId="0" applyBorder="1" applyAlignment="1" applyProtection="1">
      <alignment horizontal="distributed"/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38" fontId="0" fillId="0" borderId="122" xfId="10" applyFont="1" applyBorder="1" applyProtection="1"/>
    <xf numFmtId="38" fontId="0" fillId="0" borderId="122" xfId="0" applyNumberFormat="1" applyBorder="1"/>
    <xf numFmtId="0" fontId="0" fillId="0" borderId="133" xfId="0" applyBorder="1"/>
    <xf numFmtId="0" fontId="0" fillId="0" borderId="29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60" xfId="0" applyBorder="1" applyProtection="1">
      <protection locked="0"/>
    </xf>
    <xf numFmtId="38" fontId="0" fillId="0" borderId="12" xfId="10" applyFont="1" applyBorder="1" applyAlignment="1" applyProtection="1">
      <protection locked="0"/>
    </xf>
    <xf numFmtId="0" fontId="0" fillId="0" borderId="122" xfId="0" applyBorder="1" applyAlignment="1" applyProtection="1">
      <alignment horizontal="distributed" justifyLastLine="1"/>
      <protection locked="0"/>
    </xf>
    <xf numFmtId="0" fontId="0" fillId="0" borderId="21" xfId="0" applyBorder="1" applyAlignment="1" applyProtection="1">
      <alignment horizontal="distributed"/>
      <protection locked="0"/>
    </xf>
    <xf numFmtId="0" fontId="0" fillId="0" borderId="24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41" xfId="0" applyBorder="1" applyProtection="1">
      <protection locked="0"/>
    </xf>
    <xf numFmtId="38" fontId="0" fillId="0" borderId="24" xfId="10" applyFont="1" applyBorder="1" applyAlignment="1" applyProtection="1">
      <protection locked="0"/>
    </xf>
    <xf numFmtId="182" fontId="0" fillId="0" borderId="3" xfId="0" applyNumberFormat="1" applyBorder="1"/>
    <xf numFmtId="0" fontId="0" fillId="0" borderId="0" xfId="0" applyAlignment="1" applyProtection="1">
      <alignment horizontal="distributed" wrapText="1"/>
      <protection locked="0"/>
    </xf>
    <xf numFmtId="0" fontId="0" fillId="0" borderId="20" xfId="0" applyBorder="1" applyAlignment="1">
      <alignment horizontal="distributed" wrapText="1"/>
    </xf>
    <xf numFmtId="0" fontId="0" fillId="0" borderId="5" xfId="0" applyBorder="1" applyAlignment="1" applyProtection="1">
      <alignment horizontal="distributed" justifyLastLine="1"/>
      <protection locked="0"/>
    </xf>
    <xf numFmtId="0" fontId="0" fillId="0" borderId="69" xfId="0" applyBorder="1"/>
    <xf numFmtId="0" fontId="0" fillId="0" borderId="22" xfId="0" applyBorder="1" applyAlignment="1" applyProtection="1">
      <alignment horizontal="distributed" shrinkToFit="1"/>
      <protection locked="0"/>
    </xf>
    <xf numFmtId="0" fontId="0" fillId="0" borderId="12" xfId="0" applyBorder="1" applyAlignment="1" applyProtection="1">
      <alignment horizontal="distributed" justifyLastLine="1"/>
      <protection locked="0"/>
    </xf>
    <xf numFmtId="38" fontId="0" fillId="0" borderId="68" xfId="10" applyFont="1" applyBorder="1" applyAlignment="1" applyProtection="1">
      <alignment horizontal="right"/>
      <protection locked="0"/>
    </xf>
    <xf numFmtId="38" fontId="0" fillId="0" borderId="122" xfId="0" applyNumberFormat="1" applyBorder="1" applyProtection="1">
      <protection locked="0"/>
    </xf>
    <xf numFmtId="0" fontId="0" fillId="0" borderId="122" xfId="0" applyBorder="1" applyProtection="1">
      <protection locked="0"/>
    </xf>
    <xf numFmtId="38" fontId="0" fillId="0" borderId="122" xfId="10" applyFont="1" applyBorder="1" applyProtection="1">
      <protection locked="0"/>
    </xf>
    <xf numFmtId="0" fontId="0" fillId="0" borderId="76" xfId="0" applyBorder="1" applyAlignment="1">
      <alignment horizontal="distributed"/>
    </xf>
    <xf numFmtId="0" fontId="0" fillId="0" borderId="6" xfId="0" applyBorder="1"/>
    <xf numFmtId="38" fontId="0" fillId="0" borderId="74" xfId="10" applyFont="1" applyBorder="1" applyProtection="1"/>
    <xf numFmtId="38" fontId="0" fillId="0" borderId="6" xfId="10" applyFont="1" applyBorder="1" applyAlignment="1" applyProtection="1"/>
    <xf numFmtId="0" fontId="0" fillId="0" borderId="74" xfId="0" applyBorder="1"/>
    <xf numFmtId="0" fontId="0" fillId="0" borderId="12" xfId="0" applyBorder="1"/>
    <xf numFmtId="0" fontId="0" fillId="0" borderId="22" xfId="0" applyBorder="1" applyAlignment="1">
      <alignment horizontal="distributed" shrinkToFit="1"/>
    </xf>
    <xf numFmtId="0" fontId="0" fillId="0" borderId="74" xfId="0" applyBorder="1" applyAlignment="1" applyProtection="1">
      <alignment horizontal="distributed" justifyLastLine="1"/>
      <protection locked="0"/>
    </xf>
    <xf numFmtId="0" fontId="0" fillId="0" borderId="128" xfId="0" applyBorder="1" applyAlignment="1" applyProtection="1">
      <alignment horizontal="distributed" justifyLastLine="1"/>
      <protection locked="0"/>
    </xf>
    <xf numFmtId="0" fontId="0" fillId="0" borderId="93" xfId="0" applyBorder="1"/>
    <xf numFmtId="0" fontId="0" fillId="0" borderId="93" xfId="0" applyBorder="1" applyAlignment="1" applyProtection="1">
      <alignment horizontal="distributed" justifyLastLine="1"/>
      <protection locked="0"/>
    </xf>
    <xf numFmtId="0" fontId="0" fillId="0" borderId="5" xfId="0" applyBorder="1" applyAlignment="1" applyProtection="1">
      <alignment horizontal="distributed"/>
      <protection locked="0"/>
    </xf>
    <xf numFmtId="0" fontId="0" fillId="0" borderId="58" xfId="0" applyBorder="1" applyAlignment="1" applyProtection="1">
      <alignment horizontal="distributed"/>
      <protection locked="0"/>
    </xf>
    <xf numFmtId="0" fontId="0" fillId="0" borderId="92" xfId="0" applyBorder="1" applyAlignment="1" applyProtection="1">
      <alignment horizontal="distributed" justifyLastLine="1"/>
      <protection locked="0"/>
    </xf>
    <xf numFmtId="0" fontId="0" fillId="0" borderId="121" xfId="0" applyBorder="1" applyAlignment="1">
      <alignment horizontal="distributed" wrapText="1"/>
    </xf>
    <xf numFmtId="0" fontId="0" fillId="0" borderId="69" xfId="0" applyBorder="1" applyAlignment="1" applyProtection="1">
      <alignment horizontal="distributed" justifyLastLine="1"/>
      <protection locked="0"/>
    </xf>
    <xf numFmtId="38" fontId="0" fillId="0" borderId="5" xfId="0" applyNumberFormat="1" applyBorder="1"/>
    <xf numFmtId="0" fontId="0" fillId="0" borderId="8" xfId="0" applyBorder="1" applyAlignment="1">
      <alignment horizontal="center" shrinkToFit="1"/>
    </xf>
    <xf numFmtId="0" fontId="0" fillId="0" borderId="132" xfId="0" applyBorder="1" applyProtection="1">
      <protection locked="0"/>
    </xf>
    <xf numFmtId="0" fontId="0" fillId="0" borderId="129" xfId="0" applyBorder="1" applyProtection="1">
      <protection locked="0"/>
    </xf>
    <xf numFmtId="0" fontId="0" fillId="0" borderId="130" xfId="0" applyBorder="1" applyProtection="1">
      <protection locked="0"/>
    </xf>
    <xf numFmtId="0" fontId="0" fillId="0" borderId="25" xfId="0" applyBorder="1" applyAlignment="1">
      <alignment horizontal="distributed" wrapText="1"/>
    </xf>
    <xf numFmtId="0" fontId="0" fillId="0" borderId="26" xfId="0" applyBorder="1" applyAlignment="1" applyProtection="1">
      <alignment horizontal="distributed" justifyLastLine="1"/>
      <protection locked="0"/>
    </xf>
    <xf numFmtId="0" fontId="0" fillId="0" borderId="21" xfId="0" applyBorder="1" applyAlignment="1">
      <alignment horizontal="distributed"/>
    </xf>
    <xf numFmtId="38" fontId="0" fillId="0" borderId="24" xfId="10" applyFont="1" applyBorder="1" applyProtection="1"/>
    <xf numFmtId="0" fontId="0" fillId="0" borderId="21" xfId="0" applyBorder="1" applyProtection="1">
      <protection locked="0"/>
    </xf>
    <xf numFmtId="0" fontId="0" fillId="0" borderId="25" xfId="0" applyBorder="1" applyAlignment="1">
      <alignment horizontal="distributed"/>
    </xf>
    <xf numFmtId="181" fontId="0" fillId="0" borderId="73" xfId="10" applyNumberFormat="1" applyFont="1" applyBorder="1"/>
    <xf numFmtId="38" fontId="0" fillId="0" borderId="0" xfId="0" applyNumberFormat="1" applyProtection="1">
      <protection locked="0"/>
    </xf>
    <xf numFmtId="0" fontId="0" fillId="0" borderId="73" xfId="0" applyBorder="1" applyAlignment="1">
      <alignment horizontal="distributed" justifyLastLine="1"/>
    </xf>
    <xf numFmtId="181" fontId="0" fillId="0" borderId="3" xfId="10" applyNumberFormat="1" applyFont="1" applyBorder="1"/>
    <xf numFmtId="0" fontId="0" fillId="0" borderId="76" xfId="0" applyBorder="1" applyAlignment="1">
      <alignment horizontal="distributed" wrapText="1"/>
    </xf>
    <xf numFmtId="0" fontId="0" fillId="0" borderId="58" xfId="0" applyBorder="1" applyAlignment="1">
      <alignment horizontal="distributed" wrapText="1"/>
    </xf>
    <xf numFmtId="0" fontId="0" fillId="0" borderId="59" xfId="0" applyBorder="1" applyAlignment="1" applyProtection="1">
      <alignment horizontal="distributed" justifyLastLine="1"/>
      <protection locked="0"/>
    </xf>
    <xf numFmtId="38" fontId="0" fillId="0" borderId="69" xfId="10" applyFont="1" applyBorder="1" applyAlignment="1" applyProtection="1">
      <alignment horizontal="right"/>
    </xf>
    <xf numFmtId="0" fontId="0" fillId="0" borderId="12" xfId="0" applyBorder="1" applyAlignment="1" applyProtection="1">
      <alignment horizontal="distributed"/>
      <protection locked="0"/>
    </xf>
    <xf numFmtId="0" fontId="0" fillId="0" borderId="126" xfId="0" applyBorder="1" applyAlignment="1">
      <alignment horizontal="distributed"/>
    </xf>
    <xf numFmtId="0" fontId="0" fillId="0" borderId="8" xfId="0" applyBorder="1" applyAlignment="1" applyProtection="1">
      <alignment horizontal="distributed" wrapText="1"/>
      <protection locked="0"/>
    </xf>
    <xf numFmtId="0" fontId="0" fillId="0" borderId="8" xfId="0" applyBorder="1" applyAlignment="1">
      <alignment shrinkToFit="1"/>
    </xf>
    <xf numFmtId="0" fontId="0" fillId="0" borderId="5" xfId="0" applyBorder="1" applyAlignment="1">
      <alignment horizontal="right"/>
    </xf>
    <xf numFmtId="38" fontId="0" fillId="0" borderId="122" xfId="10" applyFont="1" applyBorder="1" applyAlignment="1">
      <alignment horizontal="right"/>
    </xf>
    <xf numFmtId="0" fontId="0" fillId="0" borderId="22" xfId="0" applyBorder="1" applyAlignment="1">
      <alignment shrinkToFit="1"/>
    </xf>
    <xf numFmtId="0" fontId="0" fillId="0" borderId="13" xfId="0" applyBorder="1"/>
    <xf numFmtId="38" fontId="0" fillId="0" borderId="24" xfId="10" applyFont="1" applyBorder="1" applyProtection="1">
      <protection locked="0"/>
    </xf>
    <xf numFmtId="0" fontId="0" fillId="0" borderId="131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8" xfId="0" applyBorder="1" applyAlignment="1">
      <alignment horizontal="distributed"/>
    </xf>
    <xf numFmtId="38" fontId="0" fillId="0" borderId="3" xfId="10" applyFont="1" applyBorder="1"/>
    <xf numFmtId="0" fontId="0" fillId="0" borderId="2" xfId="0" applyBorder="1" applyAlignment="1">
      <alignment horizontal="distributed"/>
    </xf>
    <xf numFmtId="0" fontId="0" fillId="0" borderId="20" xfId="0" applyBorder="1" applyAlignment="1">
      <alignment horizontal="distributed"/>
    </xf>
    <xf numFmtId="38" fontId="0" fillId="0" borderId="60" xfId="10" applyFont="1" applyBorder="1" applyAlignment="1" applyProtection="1">
      <protection locked="0"/>
    </xf>
    <xf numFmtId="0" fontId="0" fillId="0" borderId="68" xfId="0" applyBorder="1" applyAlignment="1" applyProtection="1">
      <alignment horizontal="distributed" justifyLastLine="1"/>
      <protection locked="0"/>
    </xf>
    <xf numFmtId="38" fontId="0" fillId="0" borderId="134" xfId="10" applyFont="1" applyBorder="1"/>
    <xf numFmtId="0" fontId="0" fillId="0" borderId="121" xfId="0" applyBorder="1" applyAlignment="1" applyProtection="1">
      <alignment horizontal="distributed"/>
      <protection locked="0"/>
    </xf>
    <xf numFmtId="38" fontId="0" fillId="0" borderId="122" xfId="10" applyFont="1" applyBorder="1" applyAlignment="1" applyProtection="1">
      <protection locked="0"/>
    </xf>
    <xf numFmtId="0" fontId="0" fillId="0" borderId="122" xfId="0" applyBorder="1" applyAlignment="1" applyProtection="1">
      <alignment horizontal="distributed"/>
      <protection locked="0"/>
    </xf>
    <xf numFmtId="0" fontId="0" fillId="0" borderId="69" xfId="0" applyBorder="1" applyAlignment="1" applyProtection="1">
      <alignment shrinkToFit="1"/>
      <protection locked="0"/>
    </xf>
    <xf numFmtId="0" fontId="0" fillId="0" borderId="23" xfId="0" applyBorder="1" applyAlignment="1">
      <alignment horizontal="distributed" wrapText="1"/>
    </xf>
    <xf numFmtId="0" fontId="0" fillId="0" borderId="13" xfId="0" applyBorder="1" applyAlignment="1">
      <alignment horizontal="distributed" justifyLastLine="1"/>
    </xf>
    <xf numFmtId="0" fontId="0" fillId="0" borderId="62" xfId="0" applyBorder="1"/>
    <xf numFmtId="0" fontId="0" fillId="0" borderId="5" xfId="0" applyBorder="1" applyAlignment="1">
      <alignment horizontal="distributed" justifyLastLine="1"/>
    </xf>
    <xf numFmtId="0" fontId="0" fillId="0" borderId="68" xfId="0" applyBorder="1"/>
    <xf numFmtId="38" fontId="0" fillId="0" borderId="68" xfId="10" applyFont="1" applyBorder="1" applyAlignment="1" applyProtection="1">
      <alignment horizontal="right"/>
    </xf>
    <xf numFmtId="38" fontId="0" fillId="0" borderId="51" xfId="10" applyFont="1" applyBorder="1" applyProtection="1"/>
    <xf numFmtId="38" fontId="0" fillId="0" borderId="9" xfId="10" applyFont="1" applyBorder="1" applyProtection="1"/>
    <xf numFmtId="38" fontId="0" fillId="0" borderId="60" xfId="10" applyFont="1" applyBorder="1" applyProtection="1"/>
    <xf numFmtId="0" fontId="0" fillId="0" borderId="22" xfId="0" applyBorder="1" applyAlignment="1" applyProtection="1">
      <alignment horizontal="distributed" wrapText="1"/>
      <protection locked="0"/>
    </xf>
    <xf numFmtId="38" fontId="0" fillId="0" borderId="24" xfId="10" applyFont="1" applyFill="1" applyBorder="1" applyProtection="1"/>
    <xf numFmtId="38" fontId="0" fillId="0" borderId="34" xfId="10" applyFont="1" applyBorder="1" applyProtection="1"/>
    <xf numFmtId="0" fontId="0" fillId="0" borderId="53" xfId="0" applyBorder="1" applyAlignment="1" applyProtection="1">
      <alignment horizontal="distributed" justifyLastLine="1"/>
      <protection locked="0"/>
    </xf>
    <xf numFmtId="0" fontId="0" fillId="0" borderId="0" xfId="0" applyAlignment="1">
      <alignment horizontal="distributed" wrapText="1"/>
    </xf>
    <xf numFmtId="0" fontId="0" fillId="0" borderId="6" xfId="0" applyBorder="1" applyAlignment="1" applyProtection="1">
      <alignment horizontal="distributed"/>
      <protection locked="0"/>
    </xf>
    <xf numFmtId="38" fontId="0" fillId="0" borderId="13" xfId="10" applyFont="1" applyBorder="1" applyAlignment="1" applyProtection="1"/>
    <xf numFmtId="0" fontId="0" fillId="0" borderId="5" xfId="0" applyBorder="1" applyAlignment="1">
      <alignment horizontal="center"/>
    </xf>
    <xf numFmtId="0" fontId="0" fillId="0" borderId="122" xfId="0" applyBorder="1" applyAlignment="1">
      <alignment horizontal="distributed" justifyLastLine="1"/>
    </xf>
    <xf numFmtId="0" fontId="0" fillId="0" borderId="121" xfId="0" applyBorder="1" applyAlignment="1">
      <alignment shrinkToFit="1"/>
    </xf>
    <xf numFmtId="38" fontId="0" fillId="0" borderId="125" xfId="0" applyNumberFormat="1" applyBorder="1"/>
    <xf numFmtId="0" fontId="0" fillId="0" borderId="124" xfId="0" applyBorder="1" applyAlignment="1">
      <alignment horizontal="distributed"/>
    </xf>
    <xf numFmtId="38" fontId="0" fillId="0" borderId="123" xfId="0" applyNumberFormat="1" applyBorder="1"/>
    <xf numFmtId="0" fontId="0" fillId="0" borderId="123" xfId="0" applyBorder="1"/>
    <xf numFmtId="38" fontId="0" fillId="0" borderId="13" xfId="10" applyFont="1" applyBorder="1" applyAlignment="1">
      <alignment horizontal="right"/>
    </xf>
    <xf numFmtId="38" fontId="0" fillId="0" borderId="83" xfId="0" applyNumberFormat="1" applyBorder="1"/>
    <xf numFmtId="0" fontId="0" fillId="0" borderId="13" xfId="0" applyBorder="1" applyAlignment="1" applyProtection="1">
      <alignment horizontal="right"/>
      <protection locked="0"/>
    </xf>
    <xf numFmtId="0" fontId="0" fillId="0" borderId="5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1" xfId="0" applyBorder="1" applyAlignment="1">
      <alignment horizontal="distributed" wrapText="1"/>
    </xf>
    <xf numFmtId="0" fontId="0" fillId="0" borderId="24" xfId="0" applyBorder="1"/>
    <xf numFmtId="0" fontId="0" fillId="0" borderId="24" xfId="0" applyBorder="1" applyAlignment="1" applyProtection="1">
      <alignment horizontal="distributed" justifyLastLine="1"/>
      <protection locked="0"/>
    </xf>
    <xf numFmtId="0" fontId="0" fillId="0" borderId="25" xfId="0" applyBorder="1" applyAlignment="1">
      <alignment horizontal="center" shrinkToFit="1"/>
    </xf>
    <xf numFmtId="0" fontId="0" fillId="0" borderId="121" xfId="0" applyBorder="1" applyAlignment="1">
      <alignment horizontal="center" shrinkToFit="1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distributed" vertical="center" shrinkToFit="1"/>
    </xf>
    <xf numFmtId="0" fontId="0" fillId="0" borderId="89" xfId="0" applyBorder="1" applyProtection="1">
      <protection locked="0"/>
    </xf>
    <xf numFmtId="38" fontId="0" fillId="0" borderId="127" xfId="10" applyFont="1" applyBorder="1"/>
    <xf numFmtId="0" fontId="0" fillId="0" borderId="76" xfId="0" applyBorder="1" applyAlignment="1" applyProtection="1">
      <alignment horizontal="distributed" shrinkToFit="1"/>
      <protection locked="0"/>
    </xf>
    <xf numFmtId="38" fontId="0" fillId="0" borderId="74" xfId="10" applyFont="1" applyBorder="1" applyProtection="1">
      <protection locked="0"/>
    </xf>
    <xf numFmtId="38" fontId="0" fillId="0" borderId="12" xfId="10" applyFont="1" applyBorder="1"/>
    <xf numFmtId="0" fontId="0" fillId="0" borderId="29" xfId="0" quotePrefix="1" applyBorder="1" applyAlignment="1">
      <alignment horizontal="center"/>
    </xf>
    <xf numFmtId="0" fontId="0" fillId="0" borderId="8" xfId="0" applyBorder="1" applyAlignment="1" applyProtection="1">
      <alignment horizontal="distributed" shrinkToFit="1"/>
      <protection locked="0"/>
    </xf>
    <xf numFmtId="0" fontId="0" fillId="0" borderId="30" xfId="0" applyBorder="1"/>
    <xf numFmtId="38" fontId="0" fillId="0" borderId="123" xfId="10" applyFont="1" applyBorder="1"/>
    <xf numFmtId="0" fontId="0" fillId="0" borderId="123" xfId="0" applyBorder="1" applyProtection="1">
      <protection locked="0"/>
    </xf>
    <xf numFmtId="38" fontId="0" fillId="0" borderId="144" xfId="0" applyNumberFormat="1" applyBorder="1"/>
    <xf numFmtId="0" fontId="0" fillId="0" borderId="21" xfId="0" applyBorder="1" applyAlignment="1" applyProtection="1">
      <alignment horizontal="distributed" shrinkToFit="1"/>
      <protection locked="0"/>
    </xf>
    <xf numFmtId="0" fontId="0" fillId="0" borderId="0" xfId="0" applyAlignment="1">
      <alignment horizontal="distributed" shrinkToFit="1"/>
    </xf>
    <xf numFmtId="0" fontId="0" fillId="0" borderId="20" xfId="0" applyBorder="1" applyProtection="1">
      <protection locked="0"/>
    </xf>
    <xf numFmtId="0" fontId="0" fillId="0" borderId="27" xfId="0" applyBorder="1"/>
    <xf numFmtId="0" fontId="0" fillId="0" borderId="31" xfId="0" applyBorder="1" applyAlignment="1">
      <alignment horizontal="distributed" justifyLastLine="1"/>
    </xf>
    <xf numFmtId="0" fontId="0" fillId="0" borderId="23" xfId="0" applyBorder="1" applyAlignment="1">
      <alignment horizontal="distributed" justifyLastLine="1"/>
    </xf>
    <xf numFmtId="0" fontId="0" fillId="0" borderId="23" xfId="0" applyBorder="1" applyAlignment="1" applyProtection="1">
      <alignment horizontal="distributed" justifyLastLine="1"/>
      <protection locked="0"/>
    </xf>
    <xf numFmtId="0" fontId="0" fillId="4" borderId="8" xfId="0" applyFill="1" applyBorder="1" applyAlignment="1" applyProtection="1">
      <alignment horizontal="distributed" justifyLastLine="1"/>
      <protection locked="0"/>
    </xf>
    <xf numFmtId="0" fontId="0" fillId="0" borderId="76" xfId="0" applyBorder="1" applyAlignment="1" applyProtection="1">
      <alignment horizontal="distributed" justifyLastLine="1"/>
      <protection locked="0"/>
    </xf>
    <xf numFmtId="0" fontId="0" fillId="0" borderId="76" xfId="0" applyBorder="1" applyProtection="1">
      <protection locked="0"/>
    </xf>
    <xf numFmtId="0" fontId="0" fillId="0" borderId="0" xfId="0" applyAlignment="1">
      <alignment horizontal="center" shrinkToFit="1"/>
    </xf>
    <xf numFmtId="0" fontId="0" fillId="4" borderId="22" xfId="0" applyFill="1" applyBorder="1" applyAlignment="1" applyProtection="1">
      <alignment horizontal="distributed" justifyLastLine="1"/>
      <protection locked="0"/>
    </xf>
    <xf numFmtId="0" fontId="0" fillId="0" borderId="22" xfId="0" applyBorder="1" applyAlignment="1">
      <alignment horizontal="distributed" justifyLastLine="1"/>
    </xf>
    <xf numFmtId="0" fontId="0" fillId="0" borderId="22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58" xfId="0" applyBorder="1" applyAlignment="1" applyProtection="1">
      <alignment horizontal="distributed" justifyLastLine="1"/>
      <protection locked="0"/>
    </xf>
    <xf numFmtId="0" fontId="0" fillId="0" borderId="30" xfId="0" applyBorder="1" applyAlignment="1">
      <alignment horizontal="distributed" justifyLastLine="1"/>
    </xf>
    <xf numFmtId="0" fontId="0" fillId="0" borderId="20" xfId="0" applyBorder="1" applyAlignment="1" applyProtection="1">
      <alignment horizontal="distributed" justifyLastLine="1"/>
      <protection locked="0"/>
    </xf>
    <xf numFmtId="0" fontId="0" fillId="0" borderId="10" xfId="0" applyBorder="1" applyAlignment="1">
      <alignment horizontal="distributed" justifyLastLine="1"/>
    </xf>
    <xf numFmtId="38" fontId="0" fillId="0" borderId="13" xfId="10" applyFont="1" applyBorder="1"/>
    <xf numFmtId="0" fontId="0" fillId="0" borderId="19" xfId="0" applyBorder="1" applyAlignment="1">
      <alignment horizontal="distributed" justifyLastLine="1"/>
    </xf>
    <xf numFmtId="38" fontId="0" fillId="0" borderId="73" xfId="0" applyNumberFormat="1" applyBorder="1"/>
    <xf numFmtId="38" fontId="0" fillId="0" borderId="63" xfId="10" applyFont="1" applyBorder="1"/>
    <xf numFmtId="0" fontId="0" fillId="0" borderId="31" xfId="0" applyBorder="1" applyAlignment="1" applyProtection="1">
      <alignment horizontal="distributed" justifyLastLine="1"/>
      <protection locked="0"/>
    </xf>
    <xf numFmtId="38" fontId="0" fillId="0" borderId="63" xfId="10" applyFont="1" applyBorder="1" applyProtection="1">
      <protection locked="0"/>
    </xf>
    <xf numFmtId="0" fontId="0" fillId="0" borderId="88" xfId="0" applyBorder="1" applyProtection="1">
      <protection locked="0"/>
    </xf>
    <xf numFmtId="0" fontId="0" fillId="0" borderId="57" xfId="0" applyBorder="1" applyAlignment="1">
      <alignment horizontal="distributed" justifyLastLine="1"/>
    </xf>
    <xf numFmtId="38" fontId="0" fillId="0" borderId="84" xfId="0" applyNumberFormat="1" applyBorder="1"/>
    <xf numFmtId="38" fontId="0" fillId="0" borderId="63" xfId="10" applyFont="1" applyBorder="1" applyProtection="1"/>
    <xf numFmtId="38" fontId="0" fillId="0" borderId="13" xfId="10" applyFont="1" applyBorder="1" applyAlignment="1" applyProtection="1">
      <alignment horizontal="right"/>
      <protection locked="0"/>
    </xf>
    <xf numFmtId="0" fontId="0" fillId="0" borderId="76" xfId="0" applyBorder="1" applyAlignment="1">
      <alignment horizontal="distributed" justifyLastLine="1"/>
    </xf>
    <xf numFmtId="0" fontId="0" fillId="0" borderId="62" xfId="0" applyBorder="1" applyProtection="1">
      <protection locked="0"/>
    </xf>
    <xf numFmtId="0" fontId="0" fillId="0" borderId="96" xfId="0" applyBorder="1" applyProtection="1">
      <protection locked="0"/>
    </xf>
    <xf numFmtId="0" fontId="0" fillId="0" borderId="19" xfId="0" applyBorder="1"/>
    <xf numFmtId="0" fontId="0" fillId="0" borderId="37" xfId="0" applyBorder="1" applyProtection="1">
      <protection locked="0"/>
    </xf>
    <xf numFmtId="0" fontId="0" fillId="0" borderId="2" xfId="0" applyBorder="1" applyAlignment="1">
      <alignment horizontal="distributed" justifyLastLine="1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 justifyLastLine="1"/>
    </xf>
    <xf numFmtId="0" fontId="0" fillId="0" borderId="23" xfId="0" applyBorder="1" applyAlignment="1">
      <alignment horizontal="center" shrinkToFit="1"/>
    </xf>
    <xf numFmtId="0" fontId="0" fillId="0" borderId="58" xfId="0" applyBorder="1" applyAlignment="1">
      <alignment horizontal="distributed"/>
    </xf>
    <xf numFmtId="0" fontId="0" fillId="0" borderId="34" xfId="0" applyBorder="1" applyAlignment="1">
      <alignment shrinkToFit="1"/>
    </xf>
    <xf numFmtId="0" fontId="0" fillId="4" borderId="23" xfId="0" applyFill="1" applyBorder="1" applyAlignment="1">
      <alignment horizontal="distributed" justifyLastLine="1"/>
    </xf>
    <xf numFmtId="0" fontId="0" fillId="0" borderId="38" xfId="0" applyBorder="1" applyAlignment="1">
      <alignment horizontal="distributed" justifyLastLine="1"/>
    </xf>
    <xf numFmtId="0" fontId="0" fillId="0" borderId="89" xfId="0" applyBorder="1" applyAlignment="1" applyProtection="1">
      <alignment horizontal="distributed" justifyLastLine="1"/>
      <protection locked="0"/>
    </xf>
    <xf numFmtId="0" fontId="0" fillId="0" borderId="94" xfId="0" applyBorder="1" applyProtection="1">
      <protection locked="0"/>
    </xf>
    <xf numFmtId="0" fontId="0" fillId="0" borderId="126" xfId="0" applyBorder="1" applyAlignment="1" applyProtection="1">
      <alignment horizontal="distributed" justifyLastLine="1"/>
      <protection locked="0"/>
    </xf>
    <xf numFmtId="38" fontId="0" fillId="0" borderId="27" xfId="0" applyNumberFormat="1" applyBorder="1"/>
    <xf numFmtId="0" fontId="0" fillId="0" borderId="8" xfId="0" applyBorder="1"/>
    <xf numFmtId="0" fontId="0" fillId="0" borderId="3" xfId="0" applyBorder="1" applyAlignment="1">
      <alignment horizontal="distributed"/>
    </xf>
    <xf numFmtId="0" fontId="0" fillId="0" borderId="0" xfId="0" applyAlignment="1" applyProtection="1">
      <alignment horizontal="right"/>
      <protection locked="0"/>
    </xf>
    <xf numFmtId="0" fontId="0" fillId="0" borderId="18" xfId="0" applyBorder="1" applyAlignment="1" applyProtection="1">
      <alignment horizontal="left" justifyLastLine="1"/>
      <protection locked="0"/>
    </xf>
    <xf numFmtId="0" fontId="0" fillId="0" borderId="17" xfId="0" applyBorder="1" applyAlignment="1" applyProtection="1">
      <alignment horizontal="distributed" justifyLastLine="1"/>
      <protection locked="0"/>
    </xf>
    <xf numFmtId="0" fontId="0" fillId="0" borderId="6" xfId="0" applyBorder="1" applyAlignment="1" applyProtection="1">
      <alignment horizontal="distributed" wrapText="1" justifyLastLine="1"/>
      <protection locked="0"/>
    </xf>
    <xf numFmtId="0" fontId="0" fillId="0" borderId="17" xfId="0" applyBorder="1" applyAlignment="1">
      <alignment justifyLastLine="1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distributed" wrapText="1" justifyLastLine="1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distributed" justifyLastLine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distributed"/>
      <protection locked="0"/>
    </xf>
    <xf numFmtId="0" fontId="17" fillId="0" borderId="23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/>
    </xf>
    <xf numFmtId="38" fontId="0" fillId="0" borderId="74" xfId="10" applyFont="1" applyBorder="1" applyAlignment="1" applyProtection="1">
      <alignment horizontal="right"/>
    </xf>
    <xf numFmtId="38" fontId="0" fillId="0" borderId="74" xfId="10" applyFont="1" applyBorder="1" applyAlignment="1" applyProtection="1">
      <alignment horizontal="center"/>
    </xf>
    <xf numFmtId="0" fontId="6" fillId="0" borderId="22" xfId="0" applyFont="1" applyBorder="1" applyAlignment="1">
      <alignment horizontal="distributed"/>
    </xf>
    <xf numFmtId="0" fontId="6" fillId="0" borderId="20" xfId="0" applyFont="1" applyBorder="1" applyAlignment="1">
      <alignment horizontal="distributed" justifyLastLine="1"/>
    </xf>
    <xf numFmtId="38" fontId="0" fillId="0" borderId="63" xfId="1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38" fontId="0" fillId="0" borderId="5" xfId="10" applyFont="1" applyFill="1" applyBorder="1" applyAlignment="1" applyProtection="1">
      <alignment horizontal="center"/>
    </xf>
    <xf numFmtId="38" fontId="0" fillId="0" borderId="13" xfId="10" applyFont="1" applyBorder="1" applyAlignment="1">
      <alignment horizontal="center"/>
    </xf>
    <xf numFmtId="38" fontId="0" fillId="0" borderId="63" xfId="10" applyFont="1" applyBorder="1" applyAlignment="1">
      <alignment horizontal="center"/>
    </xf>
    <xf numFmtId="0" fontId="0" fillId="0" borderId="74" xfId="0" applyBorder="1" applyAlignment="1">
      <alignment horizontal="center"/>
    </xf>
    <xf numFmtId="38" fontId="17" fillId="0" borderId="12" xfId="10" applyFont="1" applyBorder="1" applyAlignment="1" applyProtection="1">
      <alignment horizontal="center"/>
    </xf>
    <xf numFmtId="38" fontId="0" fillId="0" borderId="12" xfId="10" applyFont="1" applyBorder="1" applyAlignment="1" applyProtection="1">
      <alignment horizontal="right"/>
    </xf>
    <xf numFmtId="38" fontId="0" fillId="0" borderId="24" xfId="10" applyFont="1" applyBorder="1" applyAlignment="1" applyProtection="1"/>
    <xf numFmtId="0" fontId="0" fillId="0" borderId="38" xfId="0" applyBorder="1" applyAlignment="1">
      <alignment horizontal="distributed"/>
    </xf>
    <xf numFmtId="0" fontId="0" fillId="0" borderId="54" xfId="0" applyBorder="1"/>
    <xf numFmtId="0" fontId="0" fillId="0" borderId="132" xfId="0" applyBorder="1"/>
    <xf numFmtId="0" fontId="0" fillId="0" borderId="129" xfId="0" applyBorder="1"/>
    <xf numFmtId="0" fontId="0" fillId="0" borderId="130" xfId="0" applyBorder="1"/>
    <xf numFmtId="0" fontId="0" fillId="0" borderId="126" xfId="0" applyBorder="1" applyProtection="1">
      <protection locked="0"/>
    </xf>
    <xf numFmtId="0" fontId="0" fillId="0" borderId="127" xfId="0" applyBorder="1" applyProtection="1">
      <protection locked="0"/>
    </xf>
    <xf numFmtId="0" fontId="9" fillId="0" borderId="136" xfId="0" applyFont="1" applyBorder="1" applyProtection="1">
      <protection locked="0"/>
    </xf>
    <xf numFmtId="0" fontId="0" fillId="0" borderId="13" xfId="0" applyBorder="1" applyAlignment="1">
      <alignment horizontal="right"/>
    </xf>
    <xf numFmtId="0" fontId="0" fillId="0" borderId="132" xfId="0" applyBorder="1" applyAlignment="1">
      <alignment horizontal="distributed"/>
    </xf>
    <xf numFmtId="0" fontId="0" fillId="0" borderId="24" xfId="0" applyBorder="1" applyAlignment="1">
      <alignment horizontal="right"/>
    </xf>
    <xf numFmtId="0" fontId="0" fillId="0" borderId="83" xfId="0" applyBorder="1" applyProtection="1">
      <protection locked="0"/>
    </xf>
    <xf numFmtId="38" fontId="9" fillId="0" borderId="62" xfId="10" applyFont="1" applyBorder="1" applyProtection="1"/>
    <xf numFmtId="0" fontId="0" fillId="0" borderId="13" xfId="0" applyBorder="1" applyAlignment="1" applyProtection="1">
      <alignment horizontal="distributed" justifyLastLine="1"/>
      <protection locked="0"/>
    </xf>
    <xf numFmtId="0" fontId="6" fillId="0" borderId="8" xfId="0" applyFont="1" applyBorder="1" applyAlignment="1">
      <alignment horizontal="distributed" shrinkToFit="1"/>
    </xf>
    <xf numFmtId="38" fontId="0" fillId="0" borderId="6" xfId="10" applyFont="1" applyBorder="1" applyAlignment="1">
      <alignment horizontal="center"/>
    </xf>
    <xf numFmtId="0" fontId="6" fillId="0" borderId="23" xfId="0" applyFont="1" applyBorder="1" applyAlignment="1">
      <alignment horizontal="distributed" justifyLastLine="1"/>
    </xf>
    <xf numFmtId="49" fontId="27" fillId="0" borderId="0" xfId="12" applyNumberFormat="1" applyFont="1" applyAlignment="1">
      <alignment horizontal="left" vertical="center" indent="4"/>
    </xf>
    <xf numFmtId="49" fontId="28" fillId="0" borderId="0" xfId="12" applyNumberFormat="1" applyFont="1" applyAlignment="1">
      <alignment horizontal="left" vertical="center"/>
    </xf>
    <xf numFmtId="0" fontId="0" fillId="0" borderId="20" xfId="0" applyBorder="1" applyAlignment="1">
      <alignment horizontal="distributed" wrapText="1" justifyLastLine="1"/>
    </xf>
    <xf numFmtId="0" fontId="0" fillId="0" borderId="7" xfId="0" applyBorder="1" applyAlignment="1">
      <alignment horizontal="distributed" wrapText="1" justifyLastLine="1"/>
    </xf>
    <xf numFmtId="38" fontId="0" fillId="0" borderId="20" xfId="10" applyFont="1" applyBorder="1" applyAlignment="1">
      <alignment horizontal="distributed" justifyLastLine="1"/>
    </xf>
    <xf numFmtId="38" fontId="0" fillId="0" borderId="7" xfId="10" applyFont="1" applyBorder="1" applyAlignment="1">
      <alignment horizontal="distributed" justifyLastLine="1"/>
    </xf>
    <xf numFmtId="0" fontId="0" fillId="0" borderId="20" xfId="0" applyBorder="1" applyAlignment="1">
      <alignment horizontal="distributed" justifyLastLine="1"/>
    </xf>
    <xf numFmtId="0" fontId="0" fillId="0" borderId="7" xfId="0" applyBorder="1" applyAlignment="1">
      <alignment horizontal="distributed" justifyLastLine="1"/>
    </xf>
    <xf numFmtId="180" fontId="0" fillId="0" borderId="18" xfId="0" applyNumberFormat="1" applyBorder="1"/>
    <xf numFmtId="0" fontId="0" fillId="0" borderId="18" xfId="0" applyBorder="1"/>
    <xf numFmtId="180" fontId="0" fillId="0" borderId="0" xfId="0" applyNumberFormat="1"/>
    <xf numFmtId="0" fontId="0" fillId="0" borderId="0" xfId="0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distributed" justifyLastLine="1"/>
    </xf>
    <xf numFmtId="0" fontId="0" fillId="0" borderId="0" xfId="0" applyAlignment="1">
      <alignment horizontal="distributed" wrapText="1" justifyLastLine="1"/>
    </xf>
    <xf numFmtId="38" fontId="0" fillId="0" borderId="0" xfId="10" applyFont="1" applyBorder="1" applyAlignment="1">
      <alignment horizontal="distributed" justifyLastLine="1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38" fontId="0" fillId="0" borderId="145" xfId="10" applyFont="1" applyBorder="1" applyAlignment="1">
      <alignment horizontal="center" vertical="distributed"/>
    </xf>
    <xf numFmtId="0" fontId="0" fillId="0" borderId="146" xfId="0" applyBorder="1" applyAlignment="1">
      <alignment horizontal="center" vertical="distributed"/>
    </xf>
    <xf numFmtId="0" fontId="0" fillId="0" borderId="42" xfId="0" applyBorder="1"/>
    <xf numFmtId="0" fontId="0" fillId="0" borderId="44" xfId="0" applyBorder="1"/>
    <xf numFmtId="0" fontId="30" fillId="0" borderId="139" xfId="0" applyFont="1" applyBorder="1" applyAlignment="1" applyProtection="1">
      <alignment horizontal="center" vertical="center"/>
      <protection locked="0"/>
    </xf>
    <xf numFmtId="0" fontId="30" fillId="0" borderId="140" xfId="0" applyFont="1" applyBorder="1" applyAlignment="1" applyProtection="1">
      <alignment horizontal="center" vertical="center"/>
      <protection locked="0"/>
    </xf>
    <xf numFmtId="183" fontId="5" fillId="0" borderId="139" xfId="0" applyNumberFormat="1" applyFont="1" applyBorder="1" applyAlignment="1" applyProtection="1">
      <alignment horizontal="center" vertical="center"/>
      <protection locked="0"/>
    </xf>
    <xf numFmtId="183" fontId="5" fillId="0" borderId="140" xfId="0" applyNumberFormat="1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50" xfId="0" applyBorder="1" applyAlignment="1">
      <alignment horizontal="center"/>
    </xf>
    <xf numFmtId="0" fontId="0" fillId="0" borderId="151" xfId="0" applyBorder="1" applyAlignment="1">
      <alignment horizontal="center"/>
    </xf>
    <xf numFmtId="0" fontId="5" fillId="0" borderId="139" xfId="0" applyFont="1" applyBorder="1" applyAlignment="1" applyProtection="1">
      <alignment horizontal="center" vertical="center"/>
      <protection locked="0"/>
    </xf>
    <xf numFmtId="0" fontId="5" fillId="0" borderId="140" xfId="0" applyFont="1" applyBorder="1" applyAlignment="1" applyProtection="1">
      <alignment horizontal="center" vertical="center"/>
      <protection locked="0"/>
    </xf>
    <xf numFmtId="0" fontId="5" fillId="0" borderId="139" xfId="0" applyFont="1" applyBorder="1" applyAlignment="1" applyProtection="1">
      <alignment horizontal="left" vertical="center"/>
      <protection locked="0"/>
    </xf>
    <xf numFmtId="0" fontId="5" fillId="0" borderId="137" xfId="0" applyFont="1" applyBorder="1" applyAlignment="1" applyProtection="1">
      <alignment horizontal="left" vertical="center"/>
      <protection locked="0"/>
    </xf>
    <xf numFmtId="0" fontId="5" fillId="0" borderId="140" xfId="0" applyFont="1" applyBorder="1" applyAlignment="1" applyProtection="1">
      <alignment horizontal="left" vertical="center"/>
      <protection locked="0"/>
    </xf>
    <xf numFmtId="0" fontId="5" fillId="0" borderId="137" xfId="0" applyFont="1" applyBorder="1" applyAlignment="1" applyProtection="1">
      <alignment vertical="center"/>
      <protection locked="0"/>
    </xf>
    <xf numFmtId="0" fontId="5" fillId="0" borderId="140" xfId="0" applyFont="1" applyBorder="1" applyAlignment="1" applyProtection="1">
      <alignment vertical="center"/>
      <protection locked="0"/>
    </xf>
    <xf numFmtId="37" fontId="16" fillId="0" borderId="139" xfId="0" applyNumberFormat="1" applyFont="1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45" xfId="0" applyBorder="1" applyAlignment="1">
      <alignment horizontal="distributed" wrapText="1" justifyLastLine="1"/>
    </xf>
    <xf numFmtId="0" fontId="0" fillId="0" borderId="147" xfId="0" applyBorder="1" applyAlignment="1">
      <alignment horizontal="distributed" wrapText="1" justifyLastLine="1"/>
    </xf>
    <xf numFmtId="0" fontId="0" fillId="0" borderId="146" xfId="0" applyBorder="1" applyAlignment="1">
      <alignment horizontal="distributed" wrapText="1" justifyLastLine="1"/>
    </xf>
    <xf numFmtId="0" fontId="0" fillId="0" borderId="11" xfId="0" applyBorder="1" applyAlignment="1">
      <alignment horizontal="distributed" justifyLastLine="1"/>
    </xf>
    <xf numFmtId="0" fontId="0" fillId="0" borderId="18" xfId="0" applyBorder="1" applyAlignment="1">
      <alignment horizontal="distributed" justifyLastLine="1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30" fillId="0" borderId="18" xfId="0" applyFont="1" applyBorder="1" applyAlignment="1" applyProtection="1">
      <alignment horizontal="left" vertical="center"/>
      <protection locked="0"/>
    </xf>
    <xf numFmtId="0" fontId="30" fillId="0" borderId="14" xfId="0" applyFont="1" applyBorder="1" applyAlignment="1" applyProtection="1">
      <alignment horizontal="left" vertical="center"/>
      <protection locked="0"/>
    </xf>
    <xf numFmtId="0" fontId="30" fillId="0" borderId="17" xfId="0" applyFont="1" applyBorder="1" applyAlignment="1" applyProtection="1">
      <alignment horizontal="left" vertical="center"/>
      <protection locked="0"/>
    </xf>
    <xf numFmtId="0" fontId="30" fillId="0" borderId="16" xfId="0" applyFont="1" applyBorder="1" applyAlignment="1" applyProtection="1">
      <alignment horizontal="left" vertical="center"/>
      <protection locked="0"/>
    </xf>
    <xf numFmtId="0" fontId="30" fillId="0" borderId="18" xfId="0" applyFont="1" applyBorder="1" applyAlignment="1" applyProtection="1">
      <alignment horizontal="left"/>
      <protection locked="0"/>
    </xf>
    <xf numFmtId="0" fontId="30" fillId="0" borderId="14" xfId="0" applyFont="1" applyBorder="1" applyAlignment="1" applyProtection="1">
      <alignment horizontal="left"/>
      <protection locked="0"/>
    </xf>
    <xf numFmtId="0" fontId="30" fillId="0" borderId="17" xfId="0" applyFont="1" applyBorder="1" applyAlignment="1" applyProtection="1">
      <alignment horizontal="left"/>
      <protection locked="0"/>
    </xf>
    <xf numFmtId="0" fontId="30" fillId="0" borderId="16" xfId="0" applyFont="1" applyBorder="1" applyAlignment="1" applyProtection="1">
      <alignment horizontal="left"/>
      <protection locked="0"/>
    </xf>
    <xf numFmtId="0" fontId="37" fillId="0" borderId="0" xfId="13" applyFont="1" applyAlignment="1" applyProtection="1"/>
    <xf numFmtId="183" fontId="30" fillId="0" borderId="18" xfId="0" applyNumberFormat="1" applyFont="1" applyBorder="1" applyAlignment="1">
      <alignment horizontal="left"/>
    </xf>
    <xf numFmtId="183" fontId="30" fillId="0" borderId="14" xfId="0" applyNumberFormat="1" applyFont="1" applyBorder="1" applyAlignment="1">
      <alignment horizontal="left"/>
    </xf>
    <xf numFmtId="183" fontId="30" fillId="0" borderId="17" xfId="0" applyNumberFormat="1" applyFont="1" applyBorder="1" applyAlignment="1">
      <alignment horizontal="left"/>
    </xf>
    <xf numFmtId="183" fontId="30" fillId="0" borderId="16" xfId="0" applyNumberFormat="1" applyFont="1" applyBorder="1" applyAlignment="1">
      <alignment horizontal="left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0" fillId="0" borderId="145" xfId="0" applyBorder="1" applyAlignment="1">
      <alignment horizontal="distributed" justifyLastLine="1"/>
    </xf>
    <xf numFmtId="0" fontId="0" fillId="0" borderId="147" xfId="0" applyBorder="1" applyAlignment="1">
      <alignment horizontal="distributed" justifyLastLine="1"/>
    </xf>
    <xf numFmtId="0" fontId="0" fillId="0" borderId="146" xfId="0" applyBorder="1" applyAlignment="1">
      <alignment horizontal="distributed" justifyLastLine="1"/>
    </xf>
    <xf numFmtId="0" fontId="0" fillId="0" borderId="18" xfId="0" applyBorder="1" applyAlignment="1" applyProtection="1">
      <alignment horizontal="left" justifyLastLine="1"/>
      <protection locked="0"/>
    </xf>
    <xf numFmtId="0" fontId="0" fillId="0" borderId="18" xfId="0" applyBorder="1" applyProtection="1">
      <protection locked="0"/>
    </xf>
    <xf numFmtId="0" fontId="0" fillId="0" borderId="15" xfId="0" applyBorder="1" applyAlignment="1">
      <alignment horizontal="distributed"/>
    </xf>
    <xf numFmtId="0" fontId="0" fillId="0" borderId="17" xfId="0" applyBorder="1"/>
    <xf numFmtId="0" fontId="0" fillId="0" borderId="16" xfId="0" applyBorder="1"/>
    <xf numFmtId="0" fontId="0" fillId="0" borderId="38" xfId="0" applyBorder="1" applyAlignment="1">
      <alignment horizontal="distributed"/>
    </xf>
    <xf numFmtId="0" fontId="0" fillId="0" borderId="2" xfId="0" applyBorder="1"/>
    <xf numFmtId="0" fontId="0" fillId="0" borderId="54" xfId="0" applyBorder="1"/>
    <xf numFmtId="0" fontId="0" fillId="0" borderId="148" xfId="0" applyBorder="1" applyAlignment="1">
      <alignment horizontal="distributed"/>
    </xf>
    <xf numFmtId="0" fontId="0" fillId="0" borderId="144" xfId="0" applyBorder="1"/>
    <xf numFmtId="0" fontId="0" fillId="0" borderId="149" xfId="0" applyBorder="1"/>
    <xf numFmtId="0" fontId="0" fillId="0" borderId="144" xfId="0" applyBorder="1" applyAlignment="1">
      <alignment horizontal="distributed"/>
    </xf>
    <xf numFmtId="0" fontId="0" fillId="0" borderId="149" xfId="0" applyBorder="1" applyAlignment="1">
      <alignment horizontal="distributed"/>
    </xf>
    <xf numFmtId="0" fontId="0" fillId="0" borderId="17" xfId="0" applyBorder="1" applyAlignment="1">
      <alignment horizontal="distributed"/>
    </xf>
    <xf numFmtId="0" fontId="0" fillId="0" borderId="16" xfId="0" applyBorder="1" applyAlignment="1">
      <alignment horizontal="distributed"/>
    </xf>
    <xf numFmtId="0" fontId="0" fillId="0" borderId="152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54" xfId="0" applyBorder="1" applyAlignment="1">
      <alignment horizontal="distributed"/>
    </xf>
  </cellXfs>
  <cellStyles count="14">
    <cellStyle name="Calc Currency (0)" xfId="1" xr:uid="{00000000-0005-0000-0000-000000000000}"/>
    <cellStyle name="COMP定番表書式" xfId="2" xr:uid="{00000000-0005-0000-0000-000001000000}"/>
    <cellStyle name="Grey" xfId="3" xr:uid="{00000000-0005-0000-0000-000002000000}"/>
    <cellStyle name="Header1" xfId="4" xr:uid="{00000000-0005-0000-0000-000003000000}"/>
    <cellStyle name="Header2" xfId="5" xr:uid="{00000000-0005-0000-0000-000004000000}"/>
    <cellStyle name="Input [yellow]" xfId="6" xr:uid="{00000000-0005-0000-0000-000005000000}"/>
    <cellStyle name="Normal - Style1" xfId="7" xr:uid="{00000000-0005-0000-0000-000006000000}"/>
    <cellStyle name="Normal_#18-Internet" xfId="8" xr:uid="{00000000-0005-0000-0000-000007000000}"/>
    <cellStyle name="Percent [2]" xfId="9" xr:uid="{00000000-0005-0000-0000-000008000000}"/>
    <cellStyle name="ハイパーリンク" xfId="13" builtinId="8"/>
    <cellStyle name="桁区切り" xfId="10" builtinId="6"/>
    <cellStyle name="破線" xfId="11" xr:uid="{00000000-0005-0000-0000-00000B000000}"/>
    <cellStyle name="標準" xfId="0" builtinId="0"/>
    <cellStyle name="標準_【一応完成】＜　②　６月20日⇒プラスワン　＞新聞折込広告基準　平成１４年５月１７日改正" xfId="12" xr:uid="{00000000-0005-0000-0000-00000D000000}"/>
  </cellStyles>
  <dxfs count="5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00FF"/>
      <color rgb="FF3333FF"/>
      <color rgb="FF0000CC"/>
      <color rgb="FFB6D2F5"/>
      <color rgb="FF15428B"/>
      <color rgb="FFBFDBFF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106680</xdr:rowOff>
        </xdr:from>
        <xdr:to>
          <xdr:col>14</xdr:col>
          <xdr:colOff>0</xdr:colOff>
          <xdr:row>47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"/>
  <sheetViews>
    <sheetView showGridLines="0" showRowColHeaders="0" showZeros="0" showOutlineSymbols="0" topLeftCell="B513" zoomScaleSheetLayoutView="4" workbookViewId="0"/>
  </sheetViews>
  <sheetFormatPr defaultRowHeight="13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3">
    <tabColor rgb="FFB6D2F5"/>
  </sheetPr>
  <dimension ref="B2:P71"/>
  <sheetViews>
    <sheetView zoomScaleNormal="100" zoomScaleSheetLayoutView="75" workbookViewId="0">
      <selection activeCell="D2" sqref="D2"/>
    </sheetView>
  </sheetViews>
  <sheetFormatPr defaultColWidth="9" defaultRowHeight="13.2"/>
  <cols>
    <col min="1" max="1" width="9" style="117"/>
    <col min="2" max="2" width="4.88671875" style="118" bestFit="1" customWidth="1"/>
    <col min="3" max="3" width="5.21875" style="117" customWidth="1"/>
    <col min="4" max="4" width="76.33203125" style="117" bestFit="1" customWidth="1"/>
    <col min="5" max="16384" width="9" style="117"/>
  </cols>
  <sheetData>
    <row r="2" spans="2:9" ht="32.25" customHeight="1">
      <c r="D2" s="119" t="s">
        <v>1224</v>
      </c>
      <c r="E2" s="119"/>
    </row>
    <row r="3" spans="2:9" ht="32.25" customHeight="1">
      <c r="D3" s="118" t="s">
        <v>1125</v>
      </c>
      <c r="E3" s="119"/>
    </row>
    <row r="4" spans="2:9" ht="12" customHeight="1">
      <c r="D4" s="119"/>
      <c r="E4" s="119"/>
    </row>
    <row r="5" spans="2:9" ht="13.5" customHeight="1">
      <c r="E5" s="119"/>
    </row>
    <row r="7" spans="2:9" ht="16.2">
      <c r="B7" s="779" t="s">
        <v>199</v>
      </c>
      <c r="C7" s="779"/>
      <c r="D7" s="779"/>
      <c r="E7" s="779"/>
      <c r="F7" s="121" t="s">
        <v>88</v>
      </c>
      <c r="G7" s="122" t="s">
        <v>89</v>
      </c>
      <c r="H7" s="122"/>
    </row>
    <row r="8" spans="2:9" ht="14.4">
      <c r="B8" s="778" t="s">
        <v>91</v>
      </c>
      <c r="C8" s="778"/>
      <c r="D8" s="778"/>
      <c r="E8" s="778"/>
      <c r="F8" s="118"/>
      <c r="G8" s="118" t="s">
        <v>92</v>
      </c>
      <c r="H8" s="117" t="s">
        <v>93</v>
      </c>
    </row>
    <row r="9" spans="2:9" ht="14.4">
      <c r="B9" s="778" t="s">
        <v>94</v>
      </c>
      <c r="C9" s="778"/>
      <c r="D9" s="778"/>
      <c r="E9" s="778"/>
      <c r="F9" s="118"/>
      <c r="G9" s="118" t="s">
        <v>95</v>
      </c>
      <c r="H9" s="117" t="s">
        <v>96</v>
      </c>
    </row>
    <row r="10" spans="2:9" s="122" customFormat="1" ht="16.2">
      <c r="B10" s="121" t="s">
        <v>97</v>
      </c>
      <c r="C10" s="122" t="s">
        <v>98</v>
      </c>
      <c r="F10" s="118"/>
      <c r="G10" s="118"/>
      <c r="H10" s="117" t="s">
        <v>99</v>
      </c>
      <c r="I10" s="117"/>
    </row>
    <row r="11" spans="2:9">
      <c r="B11" s="121"/>
      <c r="C11" s="118" t="s">
        <v>92</v>
      </c>
      <c r="D11" s="123" t="s">
        <v>100</v>
      </c>
      <c r="F11" s="118"/>
      <c r="G11" s="118" t="s">
        <v>101</v>
      </c>
      <c r="H11" s="117" t="s">
        <v>102</v>
      </c>
    </row>
    <row r="12" spans="2:9">
      <c r="B12" s="121"/>
      <c r="D12" s="123" t="s">
        <v>103</v>
      </c>
      <c r="F12" s="118"/>
      <c r="G12" s="118"/>
      <c r="H12" s="117" t="s">
        <v>104</v>
      </c>
    </row>
    <row r="13" spans="2:9" ht="16.2">
      <c r="B13" s="124"/>
      <c r="C13" s="118" t="s">
        <v>101</v>
      </c>
      <c r="D13" s="117" t="s">
        <v>105</v>
      </c>
      <c r="E13" s="125"/>
      <c r="F13" s="118"/>
      <c r="G13" s="118" t="s">
        <v>106</v>
      </c>
      <c r="H13" s="117" t="s">
        <v>107</v>
      </c>
    </row>
    <row r="14" spans="2:9" ht="16.2">
      <c r="B14" s="121" t="s">
        <v>108</v>
      </c>
      <c r="C14" s="122" t="s">
        <v>109</v>
      </c>
      <c r="F14" s="118"/>
      <c r="G14" s="118" t="s">
        <v>110</v>
      </c>
      <c r="H14" s="117" t="s">
        <v>111</v>
      </c>
    </row>
    <row r="15" spans="2:9" ht="16.2">
      <c r="B15" s="121"/>
      <c r="D15" s="123" t="s">
        <v>1126</v>
      </c>
      <c r="F15" s="126"/>
      <c r="H15" s="117" t="s">
        <v>112</v>
      </c>
      <c r="I15" s="122"/>
    </row>
    <row r="16" spans="2:9">
      <c r="B16" s="121"/>
      <c r="D16" s="117" t="s">
        <v>113</v>
      </c>
      <c r="F16" s="118"/>
      <c r="H16" s="117" t="s">
        <v>114</v>
      </c>
    </row>
    <row r="17" spans="2:16" ht="16.2">
      <c r="B17" s="121"/>
      <c r="D17" s="117" t="s">
        <v>115</v>
      </c>
      <c r="F17" s="121" t="s">
        <v>116</v>
      </c>
      <c r="G17" s="122" t="s">
        <v>117</v>
      </c>
      <c r="H17" s="122"/>
    </row>
    <row r="18" spans="2:16" ht="16.2">
      <c r="B18" s="121" t="s">
        <v>118</v>
      </c>
      <c r="C18" s="122" t="s">
        <v>119</v>
      </c>
      <c r="F18" s="118"/>
      <c r="G18" s="118" t="s">
        <v>92</v>
      </c>
      <c r="H18" s="117" t="s">
        <v>120</v>
      </c>
    </row>
    <row r="19" spans="2:16" ht="16.2">
      <c r="B19" s="121"/>
      <c r="D19" s="117" t="s">
        <v>121</v>
      </c>
      <c r="F19" s="126"/>
      <c r="G19" s="118"/>
      <c r="H19" s="117" t="s">
        <v>129</v>
      </c>
      <c r="I19" s="122"/>
    </row>
    <row r="20" spans="2:16" s="122" customFormat="1" ht="16.2">
      <c r="B20" s="121"/>
      <c r="D20" s="117" t="s">
        <v>130</v>
      </c>
      <c r="F20" s="118"/>
      <c r="G20" s="118"/>
      <c r="H20" s="117" t="s">
        <v>131</v>
      </c>
      <c r="I20" s="117"/>
    </row>
    <row r="21" spans="2:16" ht="16.2">
      <c r="B21" s="121" t="s">
        <v>132</v>
      </c>
      <c r="C21" s="122" t="s">
        <v>133</v>
      </c>
      <c r="F21" s="118"/>
      <c r="G21" s="118" t="s">
        <v>101</v>
      </c>
      <c r="H21" s="117" t="s">
        <v>134</v>
      </c>
    </row>
    <row r="22" spans="2:16">
      <c r="B22" s="121"/>
      <c r="D22" s="117" t="s">
        <v>135</v>
      </c>
      <c r="F22" s="118"/>
      <c r="G22" s="118"/>
      <c r="H22" s="117" t="s">
        <v>136</v>
      </c>
    </row>
    <row r="23" spans="2:16">
      <c r="B23" s="121"/>
      <c r="D23" s="117" t="s">
        <v>137</v>
      </c>
      <c r="F23" s="118"/>
      <c r="G23" s="118"/>
      <c r="H23" s="117" t="s">
        <v>138</v>
      </c>
    </row>
    <row r="24" spans="2:16" s="122" customFormat="1" ht="16.2">
      <c r="B24" s="121" t="s">
        <v>139</v>
      </c>
      <c r="C24" s="122" t="s">
        <v>140</v>
      </c>
      <c r="D24" s="117"/>
      <c r="F24" s="118"/>
      <c r="G24" s="118" t="s">
        <v>106</v>
      </c>
      <c r="H24" s="117" t="s">
        <v>141</v>
      </c>
      <c r="I24" s="117"/>
    </row>
    <row r="25" spans="2:16">
      <c r="C25" s="118" t="s">
        <v>92</v>
      </c>
      <c r="D25" s="123" t="s">
        <v>142</v>
      </c>
      <c r="F25" s="118"/>
      <c r="G25" s="118" t="s">
        <v>110</v>
      </c>
      <c r="H25" s="117" t="s">
        <v>143</v>
      </c>
    </row>
    <row r="26" spans="2:16">
      <c r="D26" s="117" t="s">
        <v>144</v>
      </c>
      <c r="F26" s="118"/>
      <c r="G26" s="118" t="s">
        <v>145</v>
      </c>
      <c r="H26" s="117" t="s">
        <v>146</v>
      </c>
    </row>
    <row r="27" spans="2:16" ht="16.2">
      <c r="D27" s="117" t="s">
        <v>147</v>
      </c>
      <c r="F27" s="121" t="s">
        <v>148</v>
      </c>
      <c r="G27" s="122" t="s">
        <v>149</v>
      </c>
      <c r="H27" s="122"/>
    </row>
    <row r="28" spans="2:16">
      <c r="D28" s="117" t="s">
        <v>150</v>
      </c>
      <c r="F28" s="118"/>
      <c r="H28" s="117" t="s">
        <v>151</v>
      </c>
    </row>
    <row r="29" spans="2:16">
      <c r="D29" s="117" t="s">
        <v>152</v>
      </c>
      <c r="F29" s="118"/>
      <c r="H29" s="117" t="s">
        <v>153</v>
      </c>
    </row>
    <row r="30" spans="2:16" ht="16.2">
      <c r="D30" s="117" t="s">
        <v>154</v>
      </c>
      <c r="F30" s="126"/>
      <c r="H30" s="117" t="s">
        <v>155</v>
      </c>
      <c r="I30" s="122"/>
    </row>
    <row r="31" spans="2:16">
      <c r="C31" s="118" t="s">
        <v>101</v>
      </c>
      <c r="D31" s="117" t="s">
        <v>156</v>
      </c>
      <c r="F31" s="118"/>
      <c r="H31" s="117" t="s">
        <v>157</v>
      </c>
    </row>
    <row r="32" spans="2:16" ht="16.2">
      <c r="D32" s="117" t="s">
        <v>158</v>
      </c>
      <c r="F32" s="120" t="s">
        <v>211</v>
      </c>
      <c r="G32" s="120"/>
      <c r="H32" s="120"/>
      <c r="I32" s="120"/>
      <c r="J32" s="123"/>
      <c r="K32" s="123"/>
      <c r="L32" s="123"/>
      <c r="M32" s="123"/>
      <c r="N32" s="123"/>
      <c r="O32" s="123"/>
      <c r="P32" s="123"/>
    </row>
    <row r="33" spans="2:9">
      <c r="C33" s="118" t="s">
        <v>106</v>
      </c>
      <c r="D33" s="117" t="s">
        <v>159</v>
      </c>
      <c r="F33" s="118"/>
      <c r="G33" s="118" t="s">
        <v>92</v>
      </c>
      <c r="H33" s="117" t="s">
        <v>875</v>
      </c>
    </row>
    <row r="34" spans="2:9">
      <c r="D34" s="117" t="s">
        <v>160</v>
      </c>
      <c r="F34" s="118"/>
      <c r="H34" s="117" t="s">
        <v>161</v>
      </c>
    </row>
    <row r="35" spans="2:9">
      <c r="C35" s="118" t="s">
        <v>110</v>
      </c>
      <c r="D35" s="117" t="s">
        <v>162</v>
      </c>
      <c r="F35" s="118"/>
      <c r="H35" s="117" t="s">
        <v>163</v>
      </c>
    </row>
    <row r="36" spans="2:9" ht="16.2">
      <c r="B36" s="121" t="s">
        <v>164</v>
      </c>
      <c r="C36" s="122" t="s">
        <v>165</v>
      </c>
      <c r="F36" s="118"/>
      <c r="G36" s="118" t="s">
        <v>101</v>
      </c>
      <c r="H36" s="117" t="s">
        <v>166</v>
      </c>
    </row>
    <row r="37" spans="2:9" s="122" customFormat="1" ht="16.2">
      <c r="B37" s="118"/>
      <c r="C37" s="117"/>
      <c r="D37" s="117" t="s">
        <v>167</v>
      </c>
      <c r="F37" s="118"/>
      <c r="G37" s="117"/>
      <c r="H37" s="117" t="s">
        <v>168</v>
      </c>
      <c r="I37" s="123"/>
    </row>
    <row r="38" spans="2:9">
      <c r="D38" s="117" t="s">
        <v>169</v>
      </c>
      <c r="F38" s="118"/>
      <c r="G38" s="118" t="s">
        <v>106</v>
      </c>
      <c r="H38" s="117" t="s">
        <v>170</v>
      </c>
    </row>
    <row r="39" spans="2:9" ht="16.2">
      <c r="B39" s="121" t="s">
        <v>171</v>
      </c>
      <c r="C39" s="122" t="s">
        <v>172</v>
      </c>
      <c r="D39" s="122"/>
      <c r="F39" s="118"/>
      <c r="H39" s="123" t="s">
        <v>173</v>
      </c>
    </row>
    <row r="40" spans="2:9">
      <c r="C40" s="118" t="s">
        <v>92</v>
      </c>
      <c r="D40" s="117" t="s">
        <v>174</v>
      </c>
      <c r="F40" s="118"/>
      <c r="G40" s="118" t="s">
        <v>110</v>
      </c>
      <c r="H40" s="117" t="s">
        <v>175</v>
      </c>
    </row>
    <row r="41" spans="2:9" s="122" customFormat="1" ht="16.2">
      <c r="B41" s="118"/>
      <c r="C41" s="118"/>
      <c r="D41" s="117" t="s">
        <v>176</v>
      </c>
      <c r="F41" s="118"/>
      <c r="G41" s="117"/>
      <c r="H41" s="117" t="s">
        <v>177</v>
      </c>
      <c r="I41" s="117"/>
    </row>
    <row r="42" spans="2:9">
      <c r="C42" s="118" t="s">
        <v>101</v>
      </c>
      <c r="D42" s="117" t="s">
        <v>178</v>
      </c>
      <c r="F42" s="118"/>
    </row>
    <row r="43" spans="2:9">
      <c r="D43" s="117" t="s">
        <v>192</v>
      </c>
      <c r="F43" s="118"/>
    </row>
    <row r="44" spans="2:9" ht="16.2">
      <c r="B44" s="121" t="s">
        <v>193</v>
      </c>
      <c r="C44" s="122" t="s">
        <v>194</v>
      </c>
      <c r="D44" s="122"/>
    </row>
    <row r="45" spans="2:9">
      <c r="D45" s="117" t="s">
        <v>195</v>
      </c>
    </row>
    <row r="46" spans="2:9" s="122" customFormat="1" ht="16.2">
      <c r="B46" s="118"/>
      <c r="C46" s="117"/>
      <c r="D46" s="117" t="s">
        <v>196</v>
      </c>
    </row>
    <row r="47" spans="2:9">
      <c r="D47" s="117" t="s">
        <v>197</v>
      </c>
    </row>
    <row r="56" s="122" customFormat="1" ht="16.2"/>
    <row r="60" s="122" customFormat="1" ht="16.2"/>
    <row r="71" s="122" customFormat="1" ht="16.2"/>
  </sheetData>
  <mergeCells count="3">
    <mergeCell ref="B9:E9"/>
    <mergeCell ref="B7:E7"/>
    <mergeCell ref="B8:E8"/>
  </mergeCells>
  <phoneticPr fontId="3"/>
  <printOptions horizontalCentered="1" verticalCentered="1"/>
  <pageMargins left="0.39370078740157483" right="0.19685039370078741" top="0.19685039370078741" bottom="0.19685039370078741" header="0" footer="0"/>
  <pageSetup paperSize="12" scale="8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8</xdr:col>
                <xdr:colOff>0</xdr:colOff>
                <xdr:row>45</xdr:row>
                <xdr:rowOff>106680</xdr:rowOff>
              </from>
              <to>
                <xdr:col>14</xdr:col>
                <xdr:colOff>0</xdr:colOff>
                <xdr:row>47</xdr:row>
                <xdr:rowOff>7620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tabColor rgb="FFB6D2F5"/>
  </sheetPr>
  <dimension ref="A1:Q110"/>
  <sheetViews>
    <sheetView showZeros="0" zoomScale="75" zoomScaleNormal="75" zoomScaleSheetLayoutView="75" workbookViewId="0">
      <pane ySplit="3" topLeftCell="A4" activePane="bottomLeft" state="frozen"/>
      <selection activeCell="M51" sqref="M51"/>
      <selection pane="bottomLeft" activeCell="A36" sqref="A36"/>
    </sheetView>
  </sheetViews>
  <sheetFormatPr defaultRowHeight="13.2"/>
  <cols>
    <col min="1" max="1" width="16.88671875" bestFit="1" customWidth="1"/>
    <col min="2" max="2" width="10.6640625" customWidth="1"/>
    <col min="3" max="4" width="10.77734375" customWidth="1"/>
    <col min="5" max="5" width="10.6640625" customWidth="1"/>
    <col min="6" max="6" width="10.77734375" customWidth="1"/>
    <col min="7" max="7" width="10.6640625" customWidth="1"/>
    <col min="8" max="8" width="10.77734375" customWidth="1"/>
    <col min="9" max="9" width="10.88671875" customWidth="1"/>
    <col min="10" max="10" width="10.6640625" customWidth="1"/>
    <col min="11" max="11" width="10.77734375" customWidth="1"/>
    <col min="12" max="12" width="8.88671875" style="1" customWidth="1"/>
    <col min="14" max="14" width="11.109375" customWidth="1"/>
    <col min="15" max="15" width="12.109375" customWidth="1"/>
    <col min="16" max="16" width="5.77734375" style="51" customWidth="1"/>
  </cols>
  <sheetData>
    <row r="1" spans="1:17" ht="19.2">
      <c r="A1" s="61" t="s">
        <v>1339</v>
      </c>
      <c r="E1" s="115" t="s">
        <v>560</v>
      </c>
      <c r="P1" s="794"/>
      <c r="Q1" s="794"/>
    </row>
    <row r="2" spans="1:17" ht="13.5" customHeight="1">
      <c r="A2" s="43" t="s">
        <v>59</v>
      </c>
      <c r="B2" s="780" t="s">
        <v>414</v>
      </c>
      <c r="C2" s="781"/>
      <c r="D2" s="784" t="s">
        <v>415</v>
      </c>
      <c r="E2" s="785"/>
      <c r="F2" s="784" t="s">
        <v>327</v>
      </c>
      <c r="G2" s="785"/>
      <c r="H2" s="784" t="s">
        <v>416</v>
      </c>
      <c r="I2" s="785"/>
      <c r="J2" s="782" t="s">
        <v>413</v>
      </c>
      <c r="K2" s="783"/>
      <c r="L2" s="797" t="s">
        <v>328</v>
      </c>
      <c r="M2" s="798"/>
      <c r="N2" s="784" t="s">
        <v>308</v>
      </c>
      <c r="O2" s="785"/>
      <c r="P2" s="795" t="s">
        <v>248</v>
      </c>
      <c r="Q2" s="51"/>
    </row>
    <row r="3" spans="1:17">
      <c r="A3" s="44"/>
      <c r="B3" s="17" t="s">
        <v>559</v>
      </c>
      <c r="C3" s="388" t="s">
        <v>246</v>
      </c>
      <c r="D3" s="17" t="s">
        <v>559</v>
      </c>
      <c r="E3" s="388" t="s">
        <v>246</v>
      </c>
      <c r="F3" s="17" t="s">
        <v>559</v>
      </c>
      <c r="G3" s="388" t="s">
        <v>231</v>
      </c>
      <c r="H3" s="17" t="s">
        <v>559</v>
      </c>
      <c r="I3" s="388" t="s">
        <v>231</v>
      </c>
      <c r="J3" s="17" t="s">
        <v>559</v>
      </c>
      <c r="K3" s="388" t="s">
        <v>231</v>
      </c>
      <c r="L3" s="17" t="s">
        <v>559</v>
      </c>
      <c r="M3" s="388" t="s">
        <v>247</v>
      </c>
      <c r="N3" s="17" t="s">
        <v>559</v>
      </c>
      <c r="O3" s="388" t="s">
        <v>231</v>
      </c>
      <c r="P3" s="796"/>
      <c r="Q3" s="51"/>
    </row>
    <row r="4" spans="1:17">
      <c r="A4" s="50" t="s">
        <v>329</v>
      </c>
      <c r="B4" s="55"/>
      <c r="C4" s="56"/>
      <c r="D4" s="56"/>
      <c r="E4" s="56"/>
      <c r="F4" s="56"/>
      <c r="G4" s="56"/>
      <c r="H4" s="56"/>
      <c r="I4" s="56"/>
      <c r="J4" s="56"/>
      <c r="K4" s="56"/>
      <c r="L4" s="57"/>
      <c r="M4" s="56"/>
      <c r="N4" s="56"/>
      <c r="O4" s="68"/>
      <c r="P4" s="112"/>
    </row>
    <row r="5" spans="1:17">
      <c r="A5" s="63" t="s">
        <v>330</v>
      </c>
      <c r="B5" s="39">
        <f>中央区・西区!$D$24</f>
        <v>4050</v>
      </c>
      <c r="C5" s="73">
        <f>A大阪市中央区折込部数</f>
        <v>0</v>
      </c>
      <c r="D5" s="62">
        <f>中央区・西区!$J$24</f>
        <v>5550</v>
      </c>
      <c r="E5" s="73">
        <f>M大阪市中央区折込部数</f>
        <v>0</v>
      </c>
      <c r="F5" s="39">
        <f>中央区・西区!$P$24</f>
        <v>4950</v>
      </c>
      <c r="G5" s="73">
        <f>S大阪市中央区折込部数</f>
        <v>0</v>
      </c>
      <c r="H5" s="39">
        <f>中央区・西区!$V$24</f>
        <v>5600</v>
      </c>
      <c r="I5" s="73">
        <f>Y大阪市中央区折込部数</f>
        <v>0</v>
      </c>
      <c r="J5" s="39">
        <f>'日経(1)'!$D$19</f>
        <v>7700</v>
      </c>
      <c r="K5" s="73">
        <f>'日経(1)'!$F$19</f>
        <v>0</v>
      </c>
      <c r="L5" s="39"/>
      <c r="M5" s="73"/>
      <c r="N5" s="41">
        <f>B5+D5+F5+H5+J5+L5</f>
        <v>27850</v>
      </c>
      <c r="O5" s="73">
        <f>+C5+E5+G5+I5+K5+M5</f>
        <v>0</v>
      </c>
      <c r="P5" s="104">
        <v>1</v>
      </c>
    </row>
    <row r="6" spans="1:17">
      <c r="A6" s="64" t="s">
        <v>331</v>
      </c>
      <c r="B6" s="40">
        <f>中央区・西区!$D$36</f>
        <v>1150</v>
      </c>
      <c r="C6" s="74">
        <f>A大阪市西区折込部数</f>
        <v>0</v>
      </c>
      <c r="D6" s="40">
        <f>中央区・西区!$J$36</f>
        <v>3100</v>
      </c>
      <c r="E6" s="74">
        <f>M大阪市西区折込部数</f>
        <v>0</v>
      </c>
      <c r="F6" s="40">
        <f>中央区・西区!$P$36</f>
        <v>1700</v>
      </c>
      <c r="G6" s="74">
        <f>S大阪市西区折込部数</f>
        <v>0</v>
      </c>
      <c r="H6" s="40">
        <f>中央区・西区!$V$36</f>
        <v>4450</v>
      </c>
      <c r="I6" s="74">
        <f>Y大阪市西区折込部数</f>
        <v>0</v>
      </c>
      <c r="J6" s="40">
        <f>'日経(1)'!$D$25</f>
        <v>3900</v>
      </c>
      <c r="K6" s="74">
        <f>'日経(1)'!$F$25</f>
        <v>0</v>
      </c>
      <c r="L6" s="42"/>
      <c r="M6" s="74"/>
      <c r="N6" s="40">
        <f>B6+D6+F6+H6+J6+L6</f>
        <v>14300</v>
      </c>
      <c r="O6" s="74">
        <f>+C6+E6+G6+I6+K6+M6</f>
        <v>0</v>
      </c>
      <c r="P6" s="105">
        <v>1</v>
      </c>
    </row>
    <row r="7" spans="1:17">
      <c r="A7" s="64" t="s">
        <v>333</v>
      </c>
      <c r="B7" s="40">
        <f>西淀川・淀川・東淀川!$D$18</f>
        <v>4950</v>
      </c>
      <c r="C7" s="74">
        <f>A大阪市西淀川区折込部数</f>
        <v>0</v>
      </c>
      <c r="D7" s="40">
        <f>西淀川・淀川・東淀川!$J$18</f>
        <v>0</v>
      </c>
      <c r="E7" s="74">
        <f>M大阪市西淀川区折込部数</f>
        <v>0</v>
      </c>
      <c r="F7" s="40">
        <f>西淀川・淀川・東淀川!$P$18</f>
        <v>4450</v>
      </c>
      <c r="G7" s="74">
        <f>S大阪市西淀川区折込部数</f>
        <v>0</v>
      </c>
      <c r="H7" s="40">
        <f>西淀川・淀川・東淀川!$V$18</f>
        <v>3850</v>
      </c>
      <c r="I7" s="74">
        <f>Y大阪市西淀川区折込部数</f>
        <v>0</v>
      </c>
      <c r="J7" s="40">
        <f>'日経(1)'!$D$32</f>
        <v>1000</v>
      </c>
      <c r="K7" s="74">
        <f>'日経(1)'!$F$32</f>
        <v>0</v>
      </c>
      <c r="L7" s="42"/>
      <c r="M7" s="74"/>
      <c r="N7" s="40">
        <f>B7+D7+F7+H7+J7+L7</f>
        <v>14250</v>
      </c>
      <c r="O7" s="74">
        <f t="shared" ref="O7:O24" si="0">+C7+E7+G7+I7+K7+M7</f>
        <v>0</v>
      </c>
      <c r="P7" s="105">
        <v>2</v>
      </c>
    </row>
    <row r="8" spans="1:17">
      <c r="A8" s="64" t="s">
        <v>332</v>
      </c>
      <c r="B8" s="40">
        <f>西淀川・淀川・東淀川!$D$28</f>
        <v>3800</v>
      </c>
      <c r="C8" s="74">
        <f>A大阪市淀川区折込部数</f>
        <v>0</v>
      </c>
      <c r="D8" s="40">
        <f>西淀川・淀川・東淀川!$J$28</f>
        <v>4150</v>
      </c>
      <c r="E8" s="74">
        <f>M大阪市淀川区折込部数</f>
        <v>0</v>
      </c>
      <c r="F8" s="40">
        <f>西淀川・淀川・東淀川!$P$28</f>
        <v>3550</v>
      </c>
      <c r="G8" s="74">
        <f>S大阪市淀川区折込部数</f>
        <v>0</v>
      </c>
      <c r="H8" s="40">
        <f>西淀川・淀川・東淀川!$V$28</f>
        <v>8050</v>
      </c>
      <c r="I8" s="74">
        <f>Y大阪市淀川区折込部数</f>
        <v>0</v>
      </c>
      <c r="J8" s="40">
        <f>'日経(1)'!$D$42</f>
        <v>2450</v>
      </c>
      <c r="K8" s="74">
        <f>'日経(1)'!$F$42</f>
        <v>0</v>
      </c>
      <c r="L8" s="42"/>
      <c r="M8" s="74"/>
      <c r="N8" s="40">
        <f>B8+D8+F8+H8+J8+L8</f>
        <v>22000</v>
      </c>
      <c r="O8" s="74">
        <f t="shared" si="0"/>
        <v>0</v>
      </c>
      <c r="P8" s="105">
        <v>2</v>
      </c>
    </row>
    <row r="9" spans="1:17">
      <c r="A9" s="64" t="s">
        <v>334</v>
      </c>
      <c r="B9" s="40">
        <f>西淀川・淀川・東淀川!$D$38</f>
        <v>5650</v>
      </c>
      <c r="C9" s="74">
        <f>A大阪市東淀川区折込部数</f>
        <v>0</v>
      </c>
      <c r="D9" s="40">
        <f>西淀川・淀川・東淀川!$J$38</f>
        <v>4350</v>
      </c>
      <c r="E9" s="74">
        <f>M大阪市東淀川区折込部数</f>
        <v>0</v>
      </c>
      <c r="F9" s="40">
        <f>西淀川・淀川・東淀川!$P$38</f>
        <v>4500</v>
      </c>
      <c r="G9" s="74">
        <f>S大阪市東淀川区折込部数</f>
        <v>0</v>
      </c>
      <c r="H9" s="40">
        <f>西淀川・淀川・東淀川!$V$38</f>
        <v>7500</v>
      </c>
      <c r="I9" s="74">
        <f>Y大阪市東淀川区折込部数</f>
        <v>0</v>
      </c>
      <c r="J9" s="40">
        <f>'日経(1)'!$J$34</f>
        <v>1200</v>
      </c>
      <c r="K9" s="74">
        <f>'日経(1)'!$L$34</f>
        <v>0</v>
      </c>
      <c r="L9" s="42"/>
      <c r="M9" s="74"/>
      <c r="N9" s="40">
        <f>B9+D9+F9+H9+J9+L9</f>
        <v>23200</v>
      </c>
      <c r="O9" s="74">
        <f>+C9+E9+G9+I9+K9+M9</f>
        <v>0</v>
      </c>
      <c r="P9" s="105">
        <v>2</v>
      </c>
    </row>
    <row r="10" spans="1:17">
      <c r="A10" s="64" t="s">
        <v>335</v>
      </c>
      <c r="B10" s="40">
        <f>北区・福島区!$D$24</f>
        <v>5600</v>
      </c>
      <c r="C10" s="74">
        <f>A大阪市北区折込部数</f>
        <v>0</v>
      </c>
      <c r="D10" s="40">
        <f>北区・福島区!$J$24</f>
        <v>2950</v>
      </c>
      <c r="E10" s="74">
        <f>M大阪市北区折込部数</f>
        <v>0</v>
      </c>
      <c r="F10" s="40">
        <f>北区・福島区!$P$24</f>
        <v>2050</v>
      </c>
      <c r="G10" s="74">
        <f>S大阪市北区折込部数</f>
        <v>0</v>
      </c>
      <c r="H10" s="40">
        <f>北区・福島区!$V$24</f>
        <v>9100</v>
      </c>
      <c r="I10" s="74">
        <f>Y大阪市北区折込部数</f>
        <v>0</v>
      </c>
      <c r="J10" s="40">
        <f>'日経(1)'!$J$42</f>
        <v>6500</v>
      </c>
      <c r="K10" s="74">
        <f>'日経(1)'!$L$42</f>
        <v>0</v>
      </c>
      <c r="L10" s="42"/>
      <c r="M10" s="74"/>
      <c r="N10" s="40">
        <f t="shared" ref="N10:N28" si="1">B10+D10+F10+H10+J10+L10</f>
        <v>26200</v>
      </c>
      <c r="O10" s="74">
        <f t="shared" si="0"/>
        <v>0</v>
      </c>
      <c r="P10" s="105">
        <v>3</v>
      </c>
    </row>
    <row r="11" spans="1:17">
      <c r="A11" s="64" t="s">
        <v>352</v>
      </c>
      <c r="B11" s="40">
        <f>北区・福島区!$D$36</f>
        <v>2800</v>
      </c>
      <c r="C11" s="204">
        <f>A大阪市福島区折込部数</f>
        <v>0</v>
      </c>
      <c r="D11" s="203">
        <f>北区・福島区!$J$36</f>
        <v>2950</v>
      </c>
      <c r="E11" s="204">
        <f>M大阪市福島区折込部数</f>
        <v>0</v>
      </c>
      <c r="F11" s="203">
        <f>北区・福島区!$P$36</f>
        <v>2850</v>
      </c>
      <c r="G11" s="204">
        <f>S大阪市福島区折込部数</f>
        <v>0</v>
      </c>
      <c r="H11" s="203">
        <f>北区・福島区!$V$36</f>
        <v>3650</v>
      </c>
      <c r="I11" s="204">
        <f>Y大阪市福島区折込部数</f>
        <v>0</v>
      </c>
      <c r="J11" s="203">
        <f>'日経(1)'!$Q$19</f>
        <v>1650</v>
      </c>
      <c r="K11" s="204">
        <f>'日経(1)'!$S$19</f>
        <v>0</v>
      </c>
      <c r="L11" s="205"/>
      <c r="M11" s="204"/>
      <c r="N11" s="203">
        <f>B11+D11+F11+H11+J11+L11</f>
        <v>13900</v>
      </c>
      <c r="O11" s="74">
        <f t="shared" si="0"/>
        <v>0</v>
      </c>
      <c r="P11" s="321">
        <v>3</v>
      </c>
    </row>
    <row r="12" spans="1:17">
      <c r="A12" s="64" t="s">
        <v>353</v>
      </c>
      <c r="B12" s="40">
        <f>都島区・旭区!$D$20</f>
        <v>3250</v>
      </c>
      <c r="C12" s="74">
        <f>A大阪市都島区折込部数</f>
        <v>0</v>
      </c>
      <c r="D12" s="40">
        <f>都島区・旭区!$J$20</f>
        <v>5550</v>
      </c>
      <c r="E12" s="74">
        <f>M大阪市都島区折込部数</f>
        <v>0</v>
      </c>
      <c r="F12" s="40">
        <f>都島区・旭区!$P$20</f>
        <v>4400</v>
      </c>
      <c r="G12" s="74">
        <f>S大阪市都島区折込部数</f>
        <v>0</v>
      </c>
      <c r="H12" s="40">
        <f>都島区・旭区!$V$20</f>
        <v>4250</v>
      </c>
      <c r="I12" s="74">
        <f>Y大阪市都島区折込部数</f>
        <v>0</v>
      </c>
      <c r="J12" s="40">
        <f>'日経(1)'!$Q$27</f>
        <v>1400</v>
      </c>
      <c r="K12" s="74">
        <f>'日経(1)'!$S$27</f>
        <v>0</v>
      </c>
      <c r="L12" s="42"/>
      <c r="M12" s="74"/>
      <c r="N12" s="40">
        <f t="shared" si="1"/>
        <v>18850</v>
      </c>
      <c r="O12" s="74">
        <f t="shared" si="0"/>
        <v>0</v>
      </c>
      <c r="P12" s="105">
        <v>4</v>
      </c>
      <c r="Q12" s="70"/>
    </row>
    <row r="13" spans="1:17">
      <c r="A13" s="64" t="s">
        <v>354</v>
      </c>
      <c r="B13" s="113">
        <f>都島区・旭区!$D$34</f>
        <v>3200</v>
      </c>
      <c r="C13" s="102">
        <f>A大阪市旭区折込部数</f>
        <v>0</v>
      </c>
      <c r="D13" s="40">
        <f>都島区・旭区!$J$34</f>
        <v>4400</v>
      </c>
      <c r="E13" s="74">
        <f>M大阪市旭区折込部数</f>
        <v>0</v>
      </c>
      <c r="F13" s="40">
        <f>都島区・旭区!$P$34</f>
        <v>1300</v>
      </c>
      <c r="G13" s="74">
        <f>S大阪市旭区折込部数</f>
        <v>0</v>
      </c>
      <c r="H13" s="40">
        <f>都島区・旭区!$V$34</f>
        <v>5100</v>
      </c>
      <c r="I13" s="74">
        <f>Y大阪市旭区折込部数</f>
        <v>0</v>
      </c>
      <c r="J13" s="40">
        <f>'日経(1)'!$Q$34</f>
        <v>950</v>
      </c>
      <c r="K13" s="74">
        <f>'日経(1)'!$S$34</f>
        <v>0</v>
      </c>
      <c r="L13" s="42"/>
      <c r="M13" s="74"/>
      <c r="N13" s="40">
        <f t="shared" si="1"/>
        <v>14950</v>
      </c>
      <c r="O13" s="74">
        <f t="shared" si="0"/>
        <v>0</v>
      </c>
      <c r="P13" s="105">
        <v>4</v>
      </c>
    </row>
    <row r="14" spans="1:17">
      <c r="A14" s="64" t="s">
        <v>336</v>
      </c>
      <c r="B14" s="40">
        <f>此花区・港区・大正区!$D$19</f>
        <v>0</v>
      </c>
      <c r="C14" s="74">
        <f>A大阪市此花区折込部数</f>
        <v>0</v>
      </c>
      <c r="D14" s="40">
        <f>此花区・港区・大正区!$J$19</f>
        <v>2800</v>
      </c>
      <c r="E14" s="74">
        <f>M大阪市此花区折込部数</f>
        <v>0</v>
      </c>
      <c r="F14" s="40">
        <f>此花区・港区・大正区!$P$19</f>
        <v>1500</v>
      </c>
      <c r="G14" s="74">
        <f>S大阪市此花区折込部数</f>
        <v>0</v>
      </c>
      <c r="H14" s="40">
        <f>此花区・港区・大正区!$V$19</f>
        <v>4650</v>
      </c>
      <c r="I14" s="74">
        <f>Y大阪市此花区折込部数</f>
        <v>0</v>
      </c>
      <c r="J14" s="40">
        <f>'日経(1)'!$Q$42</f>
        <v>550</v>
      </c>
      <c r="K14" s="74">
        <f>'日経(1)'!$S$42</f>
        <v>0</v>
      </c>
      <c r="L14" s="42"/>
      <c r="M14" s="74"/>
      <c r="N14" s="40">
        <f t="shared" si="1"/>
        <v>9500</v>
      </c>
      <c r="O14" s="74">
        <f t="shared" si="0"/>
        <v>0</v>
      </c>
      <c r="P14" s="105">
        <v>5</v>
      </c>
    </row>
    <row r="15" spans="1:17">
      <c r="A15" s="64" t="s">
        <v>337</v>
      </c>
      <c r="B15" s="40">
        <f>此花区・港区・大正区!$D$27</f>
        <v>400</v>
      </c>
      <c r="C15" s="74">
        <f>A大阪市港区折込部数</f>
        <v>0</v>
      </c>
      <c r="D15" s="40">
        <f>此花区・港区・大正区!$J$27</f>
        <v>3300</v>
      </c>
      <c r="E15" s="74">
        <f>M大阪市港区折込部数</f>
        <v>0</v>
      </c>
      <c r="F15" s="40">
        <f>此花区・港区・大正区!$P$27</f>
        <v>2350</v>
      </c>
      <c r="G15" s="74">
        <f>S大阪市港区折込部数</f>
        <v>0</v>
      </c>
      <c r="H15" s="40">
        <f>此花区・港区・大正区!$V$27</f>
        <v>3300</v>
      </c>
      <c r="I15" s="74">
        <f>Y大阪市港区折込部数</f>
        <v>0</v>
      </c>
      <c r="J15" s="40">
        <f>'日経(1)'!$W$20</f>
        <v>950</v>
      </c>
      <c r="K15" s="74">
        <f>'日経(1)'!$Y$20</f>
        <v>0</v>
      </c>
      <c r="L15" s="42"/>
      <c r="M15" s="74"/>
      <c r="N15" s="40">
        <f t="shared" si="1"/>
        <v>10300</v>
      </c>
      <c r="O15" s="74">
        <f t="shared" si="0"/>
        <v>0</v>
      </c>
      <c r="P15" s="105">
        <v>5</v>
      </c>
    </row>
    <row r="16" spans="1:17">
      <c r="A16" s="64" t="s">
        <v>339</v>
      </c>
      <c r="B16" s="40">
        <f>此花区・港区・大正区!$D$35</f>
        <v>1350</v>
      </c>
      <c r="C16" s="74">
        <f>A大阪市大正区折込部数</f>
        <v>0</v>
      </c>
      <c r="D16" s="40">
        <f>此花区・港区・大正区!$J$35</f>
        <v>4350</v>
      </c>
      <c r="E16" s="74">
        <f>M大阪市大正区折込部数</f>
        <v>0</v>
      </c>
      <c r="F16" s="40">
        <f>此花区・港区・大正区!$P$35</f>
        <v>2350</v>
      </c>
      <c r="G16" s="74">
        <f>S大阪市大正区折込部数</f>
        <v>0</v>
      </c>
      <c r="H16" s="40">
        <f>此花区・港区・大正区!$V$35</f>
        <v>2300</v>
      </c>
      <c r="I16" s="74">
        <f>Y大阪市大正区折込部数</f>
        <v>0</v>
      </c>
      <c r="J16" s="40">
        <f>'日経(1)'!$W$29</f>
        <v>550</v>
      </c>
      <c r="K16" s="74">
        <f>'日経(1)'!$Y$29</f>
        <v>0</v>
      </c>
      <c r="L16" s="42"/>
      <c r="M16" s="74"/>
      <c r="N16" s="40">
        <f t="shared" si="1"/>
        <v>10900</v>
      </c>
      <c r="O16" s="74">
        <f t="shared" si="0"/>
        <v>0</v>
      </c>
      <c r="P16" s="105">
        <v>5</v>
      </c>
    </row>
    <row r="17" spans="1:17">
      <c r="A17" s="64" t="s">
        <v>340</v>
      </c>
      <c r="B17" s="40">
        <f>浪速区・阿倍野区・西成区!$D$18</f>
        <v>0</v>
      </c>
      <c r="C17" s="74">
        <f>A大阪市浪速区折込部数</f>
        <v>0</v>
      </c>
      <c r="D17" s="40">
        <f>浪速区・阿倍野区・西成区!$J$18</f>
        <v>3100</v>
      </c>
      <c r="E17" s="74">
        <f>M大阪市浪速区折込部数</f>
        <v>0</v>
      </c>
      <c r="F17" s="40">
        <f>浪速区・阿倍野区・西成区!$P$18</f>
        <v>1600</v>
      </c>
      <c r="G17" s="74">
        <f>S大阪市浪速区折込部数</f>
        <v>0</v>
      </c>
      <c r="H17" s="40">
        <f>浪速区・阿倍野区・西成区!$V$18</f>
        <v>2350</v>
      </c>
      <c r="I17" s="74">
        <f>Y大阪市浪速区折込部数</f>
        <v>0</v>
      </c>
      <c r="J17" s="40">
        <f>'日経(1)'!$W$35</f>
        <v>1250</v>
      </c>
      <c r="K17" s="74">
        <f>'日経(1)'!$Y$35</f>
        <v>0</v>
      </c>
      <c r="L17" s="42"/>
      <c r="M17" s="74"/>
      <c r="N17" s="40">
        <f t="shared" si="1"/>
        <v>8300</v>
      </c>
      <c r="O17" s="74">
        <f t="shared" si="0"/>
        <v>0</v>
      </c>
      <c r="P17" s="105">
        <v>6</v>
      </c>
    </row>
    <row r="18" spans="1:17">
      <c r="A18" s="64" t="s">
        <v>341</v>
      </c>
      <c r="B18" s="40">
        <f>浪速区・阿倍野区・西成区!$D$26</f>
        <v>4850</v>
      </c>
      <c r="C18" s="74">
        <f>A大阪市阿倍野区折込部数</f>
        <v>0</v>
      </c>
      <c r="D18" s="40">
        <f>浪速区・阿倍野区・西成区!$J$26</f>
        <v>7450</v>
      </c>
      <c r="E18" s="74">
        <f>M大阪市阿倍野区折込部数</f>
        <v>0</v>
      </c>
      <c r="F18" s="40">
        <f>浪速区・阿倍野区・西成区!$P$26</f>
        <v>2300</v>
      </c>
      <c r="G18" s="74">
        <f>S大阪市阿倍野区折込部数</f>
        <v>0</v>
      </c>
      <c r="H18" s="40">
        <f>浪速区・阿倍野区・西成区!$V$26</f>
        <v>4500</v>
      </c>
      <c r="I18" s="74">
        <f>Y大阪市阿倍野区折込部数</f>
        <v>0</v>
      </c>
      <c r="J18" s="40">
        <f>'日経(1)'!$AC$22</f>
        <v>2000</v>
      </c>
      <c r="K18" s="74">
        <f>'日経(1)'!$AE$22</f>
        <v>0</v>
      </c>
      <c r="L18" s="42"/>
      <c r="M18" s="74"/>
      <c r="N18" s="40">
        <f t="shared" si="1"/>
        <v>21100</v>
      </c>
      <c r="O18" s="74">
        <f t="shared" si="0"/>
        <v>0</v>
      </c>
      <c r="P18" s="105">
        <v>6</v>
      </c>
    </row>
    <row r="19" spans="1:17">
      <c r="A19" s="64" t="s">
        <v>342</v>
      </c>
      <c r="B19" s="40">
        <f>浪速区・阿倍野区・西成区!$D$35</f>
        <v>2000</v>
      </c>
      <c r="C19" s="74">
        <f>A大阪市西成区折込部数</f>
        <v>0</v>
      </c>
      <c r="D19" s="40">
        <f>浪速区・阿倍野区・西成区!$J$35</f>
        <v>2850</v>
      </c>
      <c r="E19" s="74">
        <f>M大阪市西成区折込部数</f>
        <v>0</v>
      </c>
      <c r="F19" s="40">
        <f>浪速区・阿倍野区・西成区!$P$35</f>
        <v>1850</v>
      </c>
      <c r="G19" s="74">
        <f>S大阪市西成区折込部数</f>
        <v>0</v>
      </c>
      <c r="H19" s="40">
        <f>浪速区・阿倍野区・西成区!$V$35</f>
        <v>4050</v>
      </c>
      <c r="I19" s="74">
        <f>Y大阪市西成区折込部数</f>
        <v>0</v>
      </c>
      <c r="J19" s="40">
        <f>'日経(1)'!$AC$34</f>
        <v>450</v>
      </c>
      <c r="K19" s="74">
        <f>'日経(1)'!$AE$34</f>
        <v>0</v>
      </c>
      <c r="L19" s="42"/>
      <c r="M19" s="74"/>
      <c r="N19" s="40">
        <f t="shared" si="1"/>
        <v>11200</v>
      </c>
      <c r="O19" s="74">
        <f t="shared" si="0"/>
        <v>0</v>
      </c>
      <c r="P19" s="105">
        <v>6</v>
      </c>
    </row>
    <row r="20" spans="1:17">
      <c r="A20" s="64" t="s">
        <v>343</v>
      </c>
      <c r="B20" s="40">
        <f>天王寺・生野区・東成区!$D$19</f>
        <v>0</v>
      </c>
      <c r="C20" s="74">
        <f>A大阪市天王寺区折込部数</f>
        <v>0</v>
      </c>
      <c r="D20" s="40">
        <f>天王寺・生野区・東成区!$J$19</f>
        <v>3550</v>
      </c>
      <c r="E20" s="74">
        <f>M大阪市天王寺区折込部数</f>
        <v>0</v>
      </c>
      <c r="F20" s="40">
        <f>天王寺・生野区・東成区!$P$19</f>
        <v>1650</v>
      </c>
      <c r="G20" s="74">
        <f>S大阪市天王寺区折込部数</f>
        <v>0</v>
      </c>
      <c r="H20" s="40">
        <f>天王寺・生野区・東成区!$V$19</f>
        <v>2600</v>
      </c>
      <c r="I20" s="74">
        <f>Y大阪市天王寺区折込部数</f>
        <v>0</v>
      </c>
      <c r="J20" s="40">
        <f>'日経(1)'!$AC$42</f>
        <v>1300</v>
      </c>
      <c r="K20" s="74">
        <f>'日経(1)'!$AE$42</f>
        <v>0</v>
      </c>
      <c r="L20" s="42"/>
      <c r="M20" s="74"/>
      <c r="N20" s="40">
        <f t="shared" si="1"/>
        <v>9100</v>
      </c>
      <c r="O20" s="74">
        <f t="shared" si="0"/>
        <v>0</v>
      </c>
      <c r="P20" s="105">
        <v>7</v>
      </c>
    </row>
    <row r="21" spans="1:17">
      <c r="A21" s="64" t="s">
        <v>344</v>
      </c>
      <c r="B21" s="40">
        <f>天王寺・生野区・東成区!$D$29</f>
        <v>3150</v>
      </c>
      <c r="C21" s="74">
        <f>A大阪市生野区折込部数</f>
        <v>0</v>
      </c>
      <c r="D21" s="40">
        <f>天王寺・生野区・東成区!$J$29</f>
        <v>10400</v>
      </c>
      <c r="E21" s="74">
        <f>M大阪市生野区折込部数</f>
        <v>0</v>
      </c>
      <c r="F21" s="40">
        <f>天王寺・生野区・東成区!$P$29</f>
        <v>4300</v>
      </c>
      <c r="G21" s="74">
        <f>S大阪市生野区折込部数</f>
        <v>0</v>
      </c>
      <c r="H21" s="40">
        <f>天王寺・生野区・東成区!$V$29</f>
        <v>3100</v>
      </c>
      <c r="I21" s="74">
        <f>Y大阪市生野区折込部数</f>
        <v>0</v>
      </c>
      <c r="J21" s="40">
        <f>'日経(2)'!$D$24</f>
        <v>1200</v>
      </c>
      <c r="K21" s="74">
        <f>'日経(2)'!$F$24</f>
        <v>0</v>
      </c>
      <c r="L21" s="42"/>
      <c r="M21" s="74"/>
      <c r="N21" s="40">
        <f t="shared" si="1"/>
        <v>22150</v>
      </c>
      <c r="O21" s="74">
        <f t="shared" si="0"/>
        <v>0</v>
      </c>
      <c r="P21" s="105">
        <v>7</v>
      </c>
    </row>
    <row r="22" spans="1:17">
      <c r="A22" s="64" t="s">
        <v>345</v>
      </c>
      <c r="B22" s="40">
        <f>天王寺・生野区・東成区!$D$37</f>
        <v>850</v>
      </c>
      <c r="C22" s="74">
        <f>A大阪市東成区折込部数</f>
        <v>0</v>
      </c>
      <c r="D22" s="40">
        <f>天王寺・生野区・東成区!$J$37</f>
        <v>5600</v>
      </c>
      <c r="E22" s="74">
        <f>M大阪市東成区折込部数</f>
        <v>0</v>
      </c>
      <c r="F22" s="40">
        <f>天王寺・生野区・東成区!$P$37</f>
        <v>3500</v>
      </c>
      <c r="G22" s="74">
        <f>S大阪市東成区折込部数</f>
        <v>0</v>
      </c>
      <c r="H22" s="40">
        <f>天王寺・生野区・東成区!$V$37</f>
        <v>2100</v>
      </c>
      <c r="I22" s="74">
        <f>Y大阪市東成区折込部数</f>
        <v>0</v>
      </c>
      <c r="J22" s="40">
        <f>'日経(2)'!$D$31</f>
        <v>1350</v>
      </c>
      <c r="K22" s="74">
        <f>'日経(2)'!$F$31</f>
        <v>0</v>
      </c>
      <c r="L22" s="42"/>
      <c r="M22" s="74"/>
      <c r="N22" s="40">
        <f t="shared" si="1"/>
        <v>13400</v>
      </c>
      <c r="O22" s="74">
        <f t="shared" si="0"/>
        <v>0</v>
      </c>
      <c r="P22" s="105">
        <v>7</v>
      </c>
    </row>
    <row r="23" spans="1:17">
      <c r="A23" s="64" t="s">
        <v>346</v>
      </c>
      <c r="B23" s="40">
        <f>城東区・鶴見区!$D$20</f>
        <v>6250</v>
      </c>
      <c r="C23" s="74">
        <f>A大阪市城東区折込部数</f>
        <v>0</v>
      </c>
      <c r="D23" s="40">
        <f>城東区・鶴見区!$J$20</f>
        <v>8850</v>
      </c>
      <c r="E23" s="74">
        <f>M大阪市城東区折込部数</f>
        <v>0</v>
      </c>
      <c r="F23" s="40">
        <f>城東区・鶴見区!$P$20</f>
        <v>4950</v>
      </c>
      <c r="G23" s="74">
        <f>S大阪市城東区折込部数</f>
        <v>0</v>
      </c>
      <c r="H23" s="40">
        <f>城東区・鶴見区!$V$20</f>
        <v>8450</v>
      </c>
      <c r="I23" s="74">
        <f>Y大阪城東区折込部数</f>
        <v>0</v>
      </c>
      <c r="J23" s="40">
        <f>'日経(2)'!$D$39</f>
        <v>1500</v>
      </c>
      <c r="K23" s="74">
        <f>'日経(2)'!$F$39</f>
        <v>0</v>
      </c>
      <c r="L23" s="42"/>
      <c r="M23" s="74"/>
      <c r="N23" s="40">
        <f t="shared" si="1"/>
        <v>30000</v>
      </c>
      <c r="O23" s="74">
        <f t="shared" si="0"/>
        <v>0</v>
      </c>
      <c r="P23" s="105">
        <v>8</v>
      </c>
    </row>
    <row r="24" spans="1:17">
      <c r="A24" s="64" t="s">
        <v>347</v>
      </c>
      <c r="B24" s="40">
        <f>城東区・鶴見区!$D$32</f>
        <v>2300</v>
      </c>
      <c r="C24" s="74">
        <f>A大阪市鶴見区折込部数</f>
        <v>0</v>
      </c>
      <c r="D24" s="40">
        <f>城東区・鶴見区!$J$32</f>
        <v>4250</v>
      </c>
      <c r="E24" s="74">
        <f>M大阪市鶴見区折込部数</f>
        <v>0</v>
      </c>
      <c r="F24" s="40">
        <f>城東区・鶴見区!$P$32</f>
        <v>3950</v>
      </c>
      <c r="G24" s="74">
        <f>S大阪市鶴見区折込部数</f>
        <v>0</v>
      </c>
      <c r="H24" s="40">
        <f>城東区・鶴見区!$V$32</f>
        <v>5800</v>
      </c>
      <c r="I24" s="74">
        <f>Y大阪市鶴見区折込部数</f>
        <v>0</v>
      </c>
      <c r="J24" s="40">
        <f>'日経(2)'!$J$20</f>
        <v>900</v>
      </c>
      <c r="K24" s="74">
        <f>'日経(2)'!$L$20</f>
        <v>0</v>
      </c>
      <c r="L24" s="42"/>
      <c r="M24" s="74"/>
      <c r="N24" s="40">
        <f t="shared" si="1"/>
        <v>17200</v>
      </c>
      <c r="O24" s="74">
        <f t="shared" si="0"/>
        <v>0</v>
      </c>
      <c r="P24" s="105">
        <v>8</v>
      </c>
    </row>
    <row r="25" spans="1:17">
      <c r="A25" s="64" t="s">
        <v>348</v>
      </c>
      <c r="B25" s="40">
        <f>住吉区・東住吉区!$D$20</f>
        <v>5500</v>
      </c>
      <c r="C25" s="74">
        <f>A大阪市住吉区折込部数</f>
        <v>0</v>
      </c>
      <c r="D25" s="40">
        <f>住吉区・東住吉区!$J$20</f>
        <v>7250</v>
      </c>
      <c r="E25" s="74">
        <f>M大阪市住吉区折込部数</f>
        <v>0</v>
      </c>
      <c r="F25" s="40">
        <f>住吉区・東住吉区!$P$20</f>
        <v>4600</v>
      </c>
      <c r="G25" s="74">
        <f>S大阪市住吉区折込部数</f>
        <v>0</v>
      </c>
      <c r="H25" s="42">
        <f>住吉区・東住吉区!$V$20</f>
        <v>7100</v>
      </c>
      <c r="I25" s="74">
        <f>Y大阪市住吉区折込部数</f>
        <v>0</v>
      </c>
      <c r="J25" s="40">
        <f>'日経(2)'!$J$35</f>
        <v>1800</v>
      </c>
      <c r="K25" s="74">
        <f>'日経(2)'!$L$35</f>
        <v>0</v>
      </c>
      <c r="L25" s="42"/>
      <c r="M25" s="74"/>
      <c r="N25" s="40">
        <f t="shared" si="1"/>
        <v>26250</v>
      </c>
      <c r="O25" s="74">
        <f>+C25+E25+G25+I25+K25+M25</f>
        <v>0</v>
      </c>
      <c r="P25" s="105">
        <v>9</v>
      </c>
    </row>
    <row r="26" spans="1:17">
      <c r="A26" s="64" t="s">
        <v>349</v>
      </c>
      <c r="B26" s="40">
        <f>住吉区・東住吉区!$D$30</f>
        <v>3950</v>
      </c>
      <c r="C26" s="74">
        <f>A大阪市東住吉区折込部数</f>
        <v>0</v>
      </c>
      <c r="D26" s="40">
        <f>住吉区・東住吉区!$J$30</f>
        <v>5700</v>
      </c>
      <c r="E26" s="74">
        <f>M大阪市東住吉区折込部数</f>
        <v>0</v>
      </c>
      <c r="F26" s="40">
        <f>住吉区・東住吉区!$P$30</f>
        <v>3400</v>
      </c>
      <c r="G26" s="74">
        <f>S大阪市東住吉区折込部数</f>
        <v>0</v>
      </c>
      <c r="H26" s="40">
        <f>住吉区・東住吉区!$V$30</f>
        <v>4650</v>
      </c>
      <c r="I26" s="74">
        <f>Y大阪市東住吉区折込部数</f>
        <v>0</v>
      </c>
      <c r="J26" s="40">
        <f>'日経(2)'!$J$44</f>
        <v>1200</v>
      </c>
      <c r="K26" s="74">
        <f>'日経(2)'!$L$44</f>
        <v>0</v>
      </c>
      <c r="L26" s="42"/>
      <c r="M26" s="74"/>
      <c r="N26" s="40">
        <f t="shared" si="1"/>
        <v>18900</v>
      </c>
      <c r="O26" s="74">
        <f>+C26+E26+G26+I26+K26+M26</f>
        <v>0</v>
      </c>
      <c r="P26" s="105">
        <v>9</v>
      </c>
    </row>
    <row r="27" spans="1:17">
      <c r="A27" s="64" t="s">
        <v>350</v>
      </c>
      <c r="B27" s="40">
        <f>住之江区・平野区!$D$21</f>
        <v>1150</v>
      </c>
      <c r="C27" s="74">
        <f>A大阪市住之江区折込部数</f>
        <v>0</v>
      </c>
      <c r="D27" s="40">
        <f>住之江区・平野区!$J$21</f>
        <v>6050</v>
      </c>
      <c r="E27" s="74">
        <f>M大阪市住之江区折込部数</f>
        <v>0</v>
      </c>
      <c r="F27" s="40">
        <f>住之江区・平野区!$P$21</f>
        <v>1300</v>
      </c>
      <c r="G27" s="74">
        <f>S大阪市住之江区折込部数</f>
        <v>0</v>
      </c>
      <c r="H27" s="40">
        <f>住之江区・平野区!$V$21</f>
        <v>5450</v>
      </c>
      <c r="I27" s="74">
        <f>Y大阪市住之江区折込部数</f>
        <v>0</v>
      </c>
      <c r="J27" s="40">
        <f>'日経(2)'!$P$22</f>
        <v>950</v>
      </c>
      <c r="K27" s="74">
        <f>'日経(2)'!$R$22</f>
        <v>0</v>
      </c>
      <c r="L27" s="42"/>
      <c r="M27" s="74"/>
      <c r="N27" s="40">
        <f t="shared" si="1"/>
        <v>14900</v>
      </c>
      <c r="O27" s="74">
        <f>+C27+E27+G27+I27+K27+M27</f>
        <v>0</v>
      </c>
      <c r="P27" s="105">
        <v>10</v>
      </c>
    </row>
    <row r="28" spans="1:17">
      <c r="A28" s="64" t="s">
        <v>351</v>
      </c>
      <c r="B28" s="113">
        <f>住之江区・平野区!$D$35</f>
        <v>4650</v>
      </c>
      <c r="C28" s="102">
        <f>A大阪市平野区折込部数</f>
        <v>0</v>
      </c>
      <c r="D28" s="40">
        <f>住之江区・平野区!$J$35</f>
        <v>10500</v>
      </c>
      <c r="E28" s="74">
        <f>M大阪市平野区折込部数</f>
        <v>0</v>
      </c>
      <c r="F28" s="40">
        <f>住之江区・平野区!$P$35</f>
        <v>8050</v>
      </c>
      <c r="G28" s="74">
        <f>S大阪市平野区折込部数</f>
        <v>0</v>
      </c>
      <c r="H28" s="40">
        <f>住之江区・平野区!$V$35</f>
        <v>12150</v>
      </c>
      <c r="I28" s="74">
        <f>Y大阪市平野区折込部数</f>
        <v>0</v>
      </c>
      <c r="J28" s="42">
        <f>'日経(2)'!$P$35</f>
        <v>1250</v>
      </c>
      <c r="K28" s="96">
        <f>'日経(2)'!$R$35</f>
        <v>0</v>
      </c>
      <c r="L28" s="42"/>
      <c r="M28" s="74"/>
      <c r="N28" s="203">
        <f t="shared" si="1"/>
        <v>36600</v>
      </c>
      <c r="O28" s="74">
        <f>+C28+E28+G28+I28+K28+M28</f>
        <v>0</v>
      </c>
      <c r="P28" s="105">
        <v>10</v>
      </c>
    </row>
    <row r="29" spans="1:17" s="46" customFormat="1" ht="13.2" customHeight="1">
      <c r="A29" s="331" t="s">
        <v>68</v>
      </c>
      <c r="B29" s="97">
        <f t="shared" ref="B29:N29" si="2">SUM(B5:B28)</f>
        <v>70850</v>
      </c>
      <c r="C29" s="49">
        <f t="shared" si="2"/>
        <v>0</v>
      </c>
      <c r="D29" s="47">
        <f t="shared" si="2"/>
        <v>119000</v>
      </c>
      <c r="E29" s="99">
        <f t="shared" si="2"/>
        <v>0</v>
      </c>
      <c r="F29" s="47">
        <f t="shared" si="2"/>
        <v>77400</v>
      </c>
      <c r="G29" s="99">
        <f t="shared" si="2"/>
        <v>0</v>
      </c>
      <c r="H29" s="47">
        <f t="shared" si="2"/>
        <v>124100</v>
      </c>
      <c r="I29" s="99">
        <f t="shared" si="2"/>
        <v>0</v>
      </c>
      <c r="J29" s="47">
        <f t="shared" si="2"/>
        <v>43950</v>
      </c>
      <c r="K29" s="99">
        <f t="shared" si="2"/>
        <v>0</v>
      </c>
      <c r="L29" s="97">
        <f t="shared" si="2"/>
        <v>0</v>
      </c>
      <c r="M29" s="98">
        <f t="shared" si="2"/>
        <v>0</v>
      </c>
      <c r="N29" s="116">
        <f t="shared" si="2"/>
        <v>435300</v>
      </c>
      <c r="O29" s="98">
        <f>SUM(O5:O28)</f>
        <v>0</v>
      </c>
      <c r="P29" s="106"/>
      <c r="Q29" s="52" t="s">
        <v>558</v>
      </c>
    </row>
    <row r="30" spans="1:17" ht="13.2" customHeight="1">
      <c r="A30" s="50" t="s">
        <v>887</v>
      </c>
      <c r="B30" s="59"/>
      <c r="C30" s="60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69"/>
      <c r="P30" s="107"/>
      <c r="Q30" s="20"/>
    </row>
    <row r="31" spans="1:17" ht="13.2" customHeight="1">
      <c r="A31" s="64" t="s">
        <v>356</v>
      </c>
      <c r="B31" s="41">
        <f>豊中市!$D$33</f>
        <v>20050</v>
      </c>
      <c r="C31" s="73">
        <f>A大阪市豊中市折込部数</f>
        <v>0</v>
      </c>
      <c r="D31" s="41">
        <f>豊中市!$J$33</f>
        <v>14100</v>
      </c>
      <c r="E31" s="73">
        <f>M大阪市豊中市折込部数</f>
        <v>0</v>
      </c>
      <c r="F31" s="41">
        <f>豊中市!$P$33</f>
        <v>7500</v>
      </c>
      <c r="G31" s="73">
        <f>S大阪市豊中市折込部数</f>
        <v>0</v>
      </c>
      <c r="H31" s="41">
        <f>豊中市!$V$33</f>
        <v>24000</v>
      </c>
      <c r="I31" s="73">
        <f>Y大阪市豊中市折込部数</f>
        <v>0</v>
      </c>
      <c r="J31" s="41">
        <f>'日経(2)'!$V$43</f>
        <v>7100</v>
      </c>
      <c r="K31" s="73">
        <f>'日経(2)'!$X$43</f>
        <v>0</v>
      </c>
      <c r="L31" s="39"/>
      <c r="M31" s="71"/>
      <c r="N31" s="40">
        <f t="shared" ref="N31:N39" si="3">B31+D31+F31+H31+J31+L31</f>
        <v>72750</v>
      </c>
      <c r="O31" s="94">
        <f t="shared" ref="O31:O38" si="4">+C31+E31+G31+I31+K31+M31</f>
        <v>0</v>
      </c>
      <c r="P31" s="104">
        <v>11</v>
      </c>
    </row>
    <row r="32" spans="1:17" ht="13.2" customHeight="1">
      <c r="A32" s="64" t="s">
        <v>355</v>
      </c>
      <c r="B32" s="40">
        <f>豊能郡・池田市・箕面市!$D$17</f>
        <v>1350</v>
      </c>
      <c r="C32" s="74">
        <f>A豊能郡折込部数</f>
        <v>0</v>
      </c>
      <c r="D32" s="40">
        <f>豊能郡・池田市・箕面市!J17</f>
        <v>400</v>
      </c>
      <c r="E32" s="74">
        <f>M豊能郡折込部数</f>
        <v>0</v>
      </c>
      <c r="F32" s="40">
        <f>豊能郡・池田市・箕面市!$P$17</f>
        <v>400</v>
      </c>
      <c r="G32" s="74">
        <f>S大阪市豊能郡折込部数</f>
        <v>0</v>
      </c>
      <c r="H32" s="40">
        <f>豊能郡・池田市・箕面市!$V$17</f>
        <v>2650</v>
      </c>
      <c r="I32" s="74">
        <f>Y豊能郡折込部数</f>
        <v>0</v>
      </c>
      <c r="J32" s="40">
        <f>'日経(2)'!$AB$20</f>
        <v>550</v>
      </c>
      <c r="K32" s="74">
        <f>'日経(2)'!$AD$20</f>
        <v>0</v>
      </c>
      <c r="L32" s="42">
        <f>豊能郡・池田市・箕面市!$AB$17</f>
        <v>1350</v>
      </c>
      <c r="M32" s="102">
        <f>G豊能郡折込部数</f>
        <v>0</v>
      </c>
      <c r="N32" s="40">
        <f t="shared" si="3"/>
        <v>6700</v>
      </c>
      <c r="O32" s="74">
        <f>+C32+E32+G32+I32+K32+M32</f>
        <v>0</v>
      </c>
      <c r="P32" s="105">
        <v>12</v>
      </c>
    </row>
    <row r="33" spans="1:16">
      <c r="A33" s="64" t="s">
        <v>357</v>
      </c>
      <c r="B33" s="40">
        <f>豊能郡・池田市・箕面市!$D$25</f>
        <v>5800</v>
      </c>
      <c r="C33" s="74">
        <f>A池田市折込部数</f>
        <v>0</v>
      </c>
      <c r="D33" s="40">
        <f>豊能郡・池田市・箕面市!$J$25</f>
        <v>1850</v>
      </c>
      <c r="E33" s="74">
        <f>M池田市折込部数</f>
        <v>0</v>
      </c>
      <c r="F33" s="40">
        <f>豊能郡・池田市・箕面市!$P$25</f>
        <v>1700</v>
      </c>
      <c r="G33" s="74">
        <f>S池田市折込部数</f>
        <v>0</v>
      </c>
      <c r="H33" s="40">
        <f>豊能郡・池田市・箕面市!$V$25</f>
        <v>7300</v>
      </c>
      <c r="I33" s="74">
        <f>Y池田市折込部数</f>
        <v>0</v>
      </c>
      <c r="J33" s="40">
        <f>'日経(2)'!$AB$25</f>
        <v>1350</v>
      </c>
      <c r="K33" s="74">
        <f>'日経(2)'!$AD$25</f>
        <v>0</v>
      </c>
      <c r="L33" s="42"/>
      <c r="M33" s="102"/>
      <c r="N33" s="40">
        <f t="shared" si="3"/>
        <v>18000</v>
      </c>
      <c r="O33" s="74">
        <f t="shared" si="4"/>
        <v>0</v>
      </c>
      <c r="P33" s="105">
        <v>12</v>
      </c>
    </row>
    <row r="34" spans="1:16">
      <c r="A34" s="64" t="s">
        <v>358</v>
      </c>
      <c r="B34" s="42">
        <f>豊能郡・池田市・箕面市!$D$36</f>
        <v>8850</v>
      </c>
      <c r="C34" s="74">
        <f>A箕面市折込部数</f>
        <v>0</v>
      </c>
      <c r="D34" s="40">
        <f>豊能郡・池田市・箕面市!$J$36</f>
        <v>5500</v>
      </c>
      <c r="E34" s="74">
        <f>M箕面市折込部数</f>
        <v>0</v>
      </c>
      <c r="F34" s="40">
        <f>豊能郡・池田市・箕面市!$P$36</f>
        <v>2400</v>
      </c>
      <c r="G34" s="74">
        <f>S箕面市折込部数</f>
        <v>0</v>
      </c>
      <c r="H34" s="40">
        <f>豊能郡・池田市・箕面市!$V$36</f>
        <v>8800</v>
      </c>
      <c r="I34" s="74">
        <f>Y箕面市折込部数</f>
        <v>0</v>
      </c>
      <c r="J34" s="40">
        <f>'日経(2)'!$AB$39</f>
        <v>2700</v>
      </c>
      <c r="K34" s="74">
        <f>'日経(2)'!$AD$39</f>
        <v>0</v>
      </c>
      <c r="L34" s="42"/>
      <c r="M34" s="102"/>
      <c r="N34" s="40">
        <f t="shared" si="3"/>
        <v>28250</v>
      </c>
      <c r="O34" s="74">
        <f t="shared" si="4"/>
        <v>0</v>
      </c>
      <c r="P34" s="105">
        <v>12</v>
      </c>
    </row>
    <row r="35" spans="1:16">
      <c r="A35" s="64" t="s">
        <v>359</v>
      </c>
      <c r="B35" s="40">
        <f>吹田市・茨木市!$D$24</f>
        <v>20850</v>
      </c>
      <c r="C35" s="74">
        <f>A吹田市折込部数</f>
        <v>0</v>
      </c>
      <c r="D35" s="40">
        <f>吹田市・茨木市!$J$24</f>
        <v>10900</v>
      </c>
      <c r="E35" s="74">
        <f>M吹田市折込部数</f>
        <v>0</v>
      </c>
      <c r="F35" s="40">
        <f>吹田市・茨木市!$P$24</f>
        <v>7900</v>
      </c>
      <c r="G35" s="74">
        <f>S吹田市折込部数</f>
        <v>0</v>
      </c>
      <c r="H35" s="40">
        <f>吹田市・茨木市!$V$24</f>
        <v>18300</v>
      </c>
      <c r="I35" s="74">
        <f>Y吹田市折込部数</f>
        <v>0</v>
      </c>
      <c r="J35" s="40">
        <f>'日経(3)'!$D$33</f>
        <v>7450</v>
      </c>
      <c r="K35" s="74">
        <f>'日経(3)'!$F$33</f>
        <v>0</v>
      </c>
      <c r="L35" s="42"/>
      <c r="M35" s="102"/>
      <c r="N35" s="40">
        <f t="shared" si="3"/>
        <v>65400</v>
      </c>
      <c r="O35" s="74">
        <f t="shared" si="4"/>
        <v>0</v>
      </c>
      <c r="P35" s="105">
        <v>13</v>
      </c>
    </row>
    <row r="36" spans="1:16">
      <c r="A36" s="64" t="s">
        <v>360</v>
      </c>
      <c r="B36" s="40">
        <f>吹田市・茨木市!$D$36</f>
        <v>10400</v>
      </c>
      <c r="C36" s="74">
        <f>A茨木市折込部数</f>
        <v>0</v>
      </c>
      <c r="D36" s="40">
        <f>吹田市・茨木市!$J$36</f>
        <v>11400</v>
      </c>
      <c r="E36" s="74">
        <f>M茨木市折込部数</f>
        <v>0</v>
      </c>
      <c r="F36" s="40">
        <f>吹田市・茨木市!$P$36</f>
        <v>5850</v>
      </c>
      <c r="G36" s="74">
        <f>S茨木市折込部数</f>
        <v>0</v>
      </c>
      <c r="H36" s="40">
        <f>吹田市・茨木市!$V$36</f>
        <v>13050</v>
      </c>
      <c r="I36" s="74">
        <f>Y茨木市折込部数</f>
        <v>0</v>
      </c>
      <c r="J36" s="40">
        <f>'日経(3)'!$J$20</f>
        <v>3750</v>
      </c>
      <c r="K36" s="74">
        <f>'日経(3)'!$L$20</f>
        <v>0</v>
      </c>
      <c r="L36" s="42"/>
      <c r="M36" s="102"/>
      <c r="N36" s="40">
        <f>B36+D36+F36+H36+J36+L36</f>
        <v>44450</v>
      </c>
      <c r="O36" s="74">
        <f>+C36+E36+G36+I36+K36+M36</f>
        <v>0</v>
      </c>
      <c r="P36" s="105">
        <v>13</v>
      </c>
    </row>
    <row r="37" spans="1:16">
      <c r="A37" s="64" t="s">
        <v>361</v>
      </c>
      <c r="B37" s="40">
        <f>高槻市・三島郡・摂津市!$D$24</f>
        <v>18600</v>
      </c>
      <c r="C37" s="74">
        <f>A高槻市折込部数</f>
        <v>0</v>
      </c>
      <c r="D37" s="40">
        <f>高槻市・三島郡・摂津市!$J$24</f>
        <v>15600</v>
      </c>
      <c r="E37" s="74">
        <f>M高槻市折込部数</f>
        <v>0</v>
      </c>
      <c r="F37" s="40">
        <f>高槻市・三島郡・摂津市!$P$24</f>
        <v>9750</v>
      </c>
      <c r="G37" s="74">
        <f>S高槻市折込部数</f>
        <v>0</v>
      </c>
      <c r="H37" s="40">
        <f>高槻市・三島郡・摂津市!$V$24</f>
        <v>22250</v>
      </c>
      <c r="I37" s="74">
        <f>Y高槻市折込部数</f>
        <v>0</v>
      </c>
      <c r="J37" s="40">
        <f>'日経(3)'!$J$41</f>
        <v>5150</v>
      </c>
      <c r="K37" s="74">
        <f>'日経(3)'!$L$41</f>
        <v>0</v>
      </c>
      <c r="L37" s="42"/>
      <c r="M37" s="102"/>
      <c r="N37" s="40">
        <f t="shared" si="3"/>
        <v>71350</v>
      </c>
      <c r="O37" s="74">
        <f t="shared" si="4"/>
        <v>0</v>
      </c>
      <c r="P37" s="105">
        <v>14</v>
      </c>
    </row>
    <row r="38" spans="1:16">
      <c r="A38" s="330" t="s">
        <v>362</v>
      </c>
      <c r="B38" s="40">
        <f>高槻市・三島郡・摂津市!$D$29</f>
        <v>3500</v>
      </c>
      <c r="C38" s="74">
        <f>A三島郡折込部数</f>
        <v>0</v>
      </c>
      <c r="D38" s="40">
        <f>高槻市・三島郡・摂津市!$J$29</f>
        <v>0</v>
      </c>
      <c r="E38" s="74">
        <f>M三島郡折込部数</f>
        <v>0</v>
      </c>
      <c r="F38" s="40">
        <f>高槻市・三島郡・摂津市!$P$29</f>
        <v>400</v>
      </c>
      <c r="G38" s="74">
        <f>S三島郡折込部数</f>
        <v>0</v>
      </c>
      <c r="H38" s="40">
        <f>高槻市・三島郡・摂津市!$V$29</f>
        <v>0</v>
      </c>
      <c r="I38" s="74">
        <f>Y三島郡折込部数</f>
        <v>0</v>
      </c>
      <c r="J38" s="40">
        <f>'日経(3)'!$P$16</f>
        <v>650</v>
      </c>
      <c r="K38" s="74">
        <f>'日経(3)'!$R$16</f>
        <v>0</v>
      </c>
      <c r="L38" s="42"/>
      <c r="M38" s="102"/>
      <c r="N38" s="40">
        <f t="shared" si="3"/>
        <v>4550</v>
      </c>
      <c r="O38" s="74">
        <f t="shared" si="4"/>
        <v>0</v>
      </c>
      <c r="P38" s="105">
        <v>14</v>
      </c>
    </row>
    <row r="39" spans="1:16">
      <c r="A39" s="64" t="s">
        <v>363</v>
      </c>
      <c r="B39" s="40">
        <f>高槻市・三島郡・摂津市!$D$37</f>
        <v>3050</v>
      </c>
      <c r="C39" s="74">
        <f>A摂津市折込部数</f>
        <v>0</v>
      </c>
      <c r="D39" s="40">
        <f>高槻市・三島郡・摂津市!$J$37</f>
        <v>5100</v>
      </c>
      <c r="E39" s="74">
        <f>M摂津市折込部数</f>
        <v>0</v>
      </c>
      <c r="F39" s="40">
        <f>高槻市・三島郡・摂津市!$P$37</f>
        <v>3650</v>
      </c>
      <c r="G39" s="74">
        <f>S摂津市折込部数</f>
        <v>0</v>
      </c>
      <c r="H39" s="40">
        <f>高槻市・三島郡・摂津市!$V$37</f>
        <v>4500</v>
      </c>
      <c r="I39" s="74">
        <f>Y摂津市折込部数</f>
        <v>0</v>
      </c>
      <c r="J39" s="40">
        <f>'日経(3)'!$P$27</f>
        <v>1250</v>
      </c>
      <c r="K39" s="74">
        <f>'日経(3)'!$R$27</f>
        <v>0</v>
      </c>
      <c r="L39" s="42"/>
      <c r="M39" s="102"/>
      <c r="N39" s="40">
        <f t="shared" si="3"/>
        <v>17550</v>
      </c>
      <c r="O39" s="74">
        <f>+C39+E39+G39+I39+K39+M39</f>
        <v>0</v>
      </c>
      <c r="P39" s="105">
        <v>14</v>
      </c>
    </row>
    <row r="40" spans="1:16" s="46" customFormat="1">
      <c r="A40" s="48" t="s">
        <v>58</v>
      </c>
      <c r="B40" s="97">
        <f t="shared" ref="B40:I40" si="5">SUM(B31:B39)</f>
        <v>92450</v>
      </c>
      <c r="C40" s="98">
        <f t="shared" si="5"/>
        <v>0</v>
      </c>
      <c r="D40" s="97">
        <f t="shared" si="5"/>
        <v>64850</v>
      </c>
      <c r="E40" s="98">
        <f t="shared" si="5"/>
        <v>0</v>
      </c>
      <c r="F40" s="97">
        <f t="shared" si="5"/>
        <v>39550</v>
      </c>
      <c r="G40" s="98">
        <f t="shared" si="5"/>
        <v>0</v>
      </c>
      <c r="H40" s="97">
        <f t="shared" si="5"/>
        <v>100850</v>
      </c>
      <c r="I40" s="98">
        <f t="shared" si="5"/>
        <v>0</v>
      </c>
      <c r="J40" s="97">
        <f>SUM(J31:J39)</f>
        <v>29950</v>
      </c>
      <c r="K40" s="98">
        <f>SUM(K31:K39)</f>
        <v>0</v>
      </c>
      <c r="L40" s="47">
        <f>SUM(L31:L39)</f>
        <v>1350</v>
      </c>
      <c r="M40" s="99">
        <f>SUM(M31:M39)</f>
        <v>0</v>
      </c>
      <c r="N40" s="40">
        <f>B40+D40+F40+H40+J40+L40</f>
        <v>329000</v>
      </c>
      <c r="O40" s="74">
        <f>+C40+E40+G40+I40+K40+M40</f>
        <v>0</v>
      </c>
      <c r="P40" s="106"/>
    </row>
    <row r="41" spans="1:16">
      <c r="A41" s="50" t="s">
        <v>364</v>
      </c>
      <c r="B41" s="59"/>
      <c r="C41" s="56"/>
      <c r="D41" s="58"/>
      <c r="E41" s="56"/>
      <c r="F41" s="58"/>
      <c r="G41" s="56"/>
      <c r="H41" s="58"/>
      <c r="I41" s="56"/>
      <c r="J41" s="56"/>
      <c r="K41" s="56"/>
      <c r="L41" s="57"/>
      <c r="M41" s="56"/>
      <c r="N41" s="58"/>
      <c r="O41" s="68"/>
      <c r="P41" s="107"/>
    </row>
    <row r="42" spans="1:16">
      <c r="A42" s="63" t="s">
        <v>365</v>
      </c>
      <c r="B42" s="41">
        <f>枚方市!D35</f>
        <v>18800</v>
      </c>
      <c r="C42" s="73">
        <f>A枚方市折込部数</f>
        <v>0</v>
      </c>
      <c r="D42" s="41">
        <f>枚方市!J35</f>
        <v>17250</v>
      </c>
      <c r="E42" s="73">
        <f>M枚方市折込部数</f>
        <v>0</v>
      </c>
      <c r="F42" s="41">
        <f>枚方市!P35</f>
        <v>9250</v>
      </c>
      <c r="G42" s="73">
        <f>S枚方市折込部数</f>
        <v>0</v>
      </c>
      <c r="H42" s="41">
        <f>枚方市!V35</f>
        <v>29200</v>
      </c>
      <c r="I42" s="73">
        <f>Y枚方市折込部数</f>
        <v>0</v>
      </c>
      <c r="J42" s="41">
        <f>'日経(3)'!$V$21</f>
        <v>4800</v>
      </c>
      <c r="K42" s="73">
        <f>'日経(3)'!$X$21</f>
        <v>0</v>
      </c>
      <c r="L42" s="39"/>
      <c r="M42" s="101"/>
      <c r="N42" s="40">
        <f t="shared" ref="N42:N58" si="6">B42+D42+F42+H42+J42+L42</f>
        <v>79300</v>
      </c>
      <c r="O42" s="74">
        <f>+C42+E42+G42+I42+K42+M42</f>
        <v>0</v>
      </c>
      <c r="P42" s="104">
        <v>15</v>
      </c>
    </row>
    <row r="43" spans="1:16">
      <c r="A43" s="199" t="s">
        <v>366</v>
      </c>
      <c r="B43" s="200">
        <f>寝屋川市・門真市!$D$24</f>
        <v>8050</v>
      </c>
      <c r="C43" s="95">
        <f>A寝屋川市折込部数</f>
        <v>0</v>
      </c>
      <c r="D43" s="200">
        <f>寝屋川市・門真市!$J$24</f>
        <v>8450</v>
      </c>
      <c r="E43" s="95">
        <f>M寝屋川市折込部数</f>
        <v>0</v>
      </c>
      <c r="F43" s="200">
        <f>寝屋川市・門真市!$P$24</f>
        <v>6950</v>
      </c>
      <c r="G43" s="95">
        <f>S寝屋川市折込部数</f>
        <v>0</v>
      </c>
      <c r="H43" s="200">
        <f>寝屋川市・門真市!$V$24</f>
        <v>15600</v>
      </c>
      <c r="I43" s="95">
        <f>Y寝屋川市折込部数</f>
        <v>0</v>
      </c>
      <c r="J43" s="200">
        <f>'日経(3)'!$V$41</f>
        <v>1950</v>
      </c>
      <c r="K43" s="95">
        <f>'日経(3)'!$X$41</f>
        <v>0</v>
      </c>
      <c r="L43" s="201"/>
      <c r="M43" s="242"/>
      <c r="N43" s="40">
        <f>B43+D43+F43+H43+J43+L43</f>
        <v>41000</v>
      </c>
      <c r="O43" s="74">
        <f t="shared" ref="O43:O51" si="7">+C43+E43+G43+I43+K43</f>
        <v>0</v>
      </c>
      <c r="P43" s="202">
        <v>16</v>
      </c>
    </row>
    <row r="44" spans="1:16">
      <c r="A44" s="199" t="s">
        <v>367</v>
      </c>
      <c r="B44" s="200">
        <f>寝屋川市・門真市!$D$35</f>
        <v>2350</v>
      </c>
      <c r="C44" s="95">
        <f>A門真市折込部数</f>
        <v>0</v>
      </c>
      <c r="D44" s="200">
        <f>寝屋川市・門真市!$J$35</f>
        <v>3300</v>
      </c>
      <c r="E44" s="95">
        <f>M門真市折込部数</f>
        <v>0</v>
      </c>
      <c r="F44" s="200">
        <f>寝屋川市・門真市!$P$35</f>
        <v>3100</v>
      </c>
      <c r="G44" s="95">
        <f>S門真市折込部数</f>
        <v>0</v>
      </c>
      <c r="H44" s="200">
        <f>寝屋川市・門真市!$V$35</f>
        <v>9250</v>
      </c>
      <c r="I44" s="95">
        <f>Y門真市折込部数</f>
        <v>0</v>
      </c>
      <c r="J44" s="200">
        <f>'日経(3)'!$AB$25</f>
        <v>600</v>
      </c>
      <c r="K44" s="95">
        <f>'日経(3)'!$AD$25</f>
        <v>0</v>
      </c>
      <c r="L44" s="201"/>
      <c r="M44" s="242"/>
      <c r="N44" s="40">
        <f>B44+D44+F44+H44+J44+L44</f>
        <v>18600</v>
      </c>
      <c r="O44" s="74">
        <f t="shared" si="7"/>
        <v>0</v>
      </c>
      <c r="P44" s="202">
        <v>16</v>
      </c>
    </row>
    <row r="45" spans="1:16">
      <c r="A45" s="199" t="s">
        <v>368</v>
      </c>
      <c r="B45" s="200">
        <f>守口市・交野市・四条畷市・大東市!$D$19</f>
        <v>4450</v>
      </c>
      <c r="C45" s="95">
        <f>A守口市折込部数</f>
        <v>0</v>
      </c>
      <c r="D45" s="200">
        <f>守口市・交野市・四条畷市・大東市!$J$19</f>
        <v>5050</v>
      </c>
      <c r="E45" s="95">
        <f>M守口市折込部数</f>
        <v>0</v>
      </c>
      <c r="F45" s="200">
        <f>守口市・交野市・四条畷市・大東市!$P$19</f>
        <v>4500</v>
      </c>
      <c r="G45" s="95">
        <f>S守口市折込部数</f>
        <v>0</v>
      </c>
      <c r="H45" s="200">
        <f>守口市・交野市・四条畷市・大東市!$V$19</f>
        <v>6500</v>
      </c>
      <c r="I45" s="95">
        <f>Y守口市折込部数</f>
        <v>0</v>
      </c>
      <c r="J45" s="200">
        <f>'日経(4) '!$D$24</f>
        <v>1150</v>
      </c>
      <c r="K45" s="95">
        <f>'日経(4) '!$F$24</f>
        <v>0</v>
      </c>
      <c r="L45" s="201"/>
      <c r="M45" s="242"/>
      <c r="N45" s="40">
        <f t="shared" si="6"/>
        <v>21650</v>
      </c>
      <c r="O45" s="74">
        <f t="shared" si="7"/>
        <v>0</v>
      </c>
      <c r="P45" s="202">
        <v>17</v>
      </c>
    </row>
    <row r="46" spans="1:16">
      <c r="A46" s="199" t="s">
        <v>369</v>
      </c>
      <c r="B46" s="200">
        <f>守口市・交野市・四条畷市・大東市!$D$26</f>
        <v>3400</v>
      </c>
      <c r="C46" s="95">
        <f>A交野市折込部数</f>
        <v>0</v>
      </c>
      <c r="D46" s="200">
        <f>守口市・交野市・四条畷市・大東市!$J$26</f>
        <v>2450</v>
      </c>
      <c r="E46" s="95">
        <f>M交野市折込部数</f>
        <v>0</v>
      </c>
      <c r="F46" s="200">
        <f>守口市・交野市・四条畷市・大東市!$P$26</f>
        <v>1950</v>
      </c>
      <c r="G46" s="95">
        <f>S交野市折込部数</f>
        <v>0</v>
      </c>
      <c r="H46" s="200">
        <f>守口市・交野市・四条畷市・大東市!$V$26</f>
        <v>3800</v>
      </c>
      <c r="I46" s="95">
        <f>Y交野市折込部数</f>
        <v>0</v>
      </c>
      <c r="J46" s="200">
        <f>'日経(4) '!$D$31</f>
        <v>950</v>
      </c>
      <c r="K46" s="95">
        <f>'日経(4) '!$F$31</f>
        <v>0</v>
      </c>
      <c r="L46" s="201"/>
      <c r="M46" s="242"/>
      <c r="N46" s="40">
        <f t="shared" si="6"/>
        <v>12550</v>
      </c>
      <c r="O46" s="74">
        <f t="shared" si="7"/>
        <v>0</v>
      </c>
      <c r="P46" s="202">
        <v>17</v>
      </c>
    </row>
    <row r="47" spans="1:16">
      <c r="A47" s="199" t="s">
        <v>370</v>
      </c>
      <c r="B47" s="200">
        <f>守口市・交野市・四条畷市・大東市!$D$32</f>
        <v>1750</v>
      </c>
      <c r="C47" s="95">
        <f>A四条畷市折込部数</f>
        <v>0</v>
      </c>
      <c r="D47" s="200">
        <f>守口市・交野市・四条畷市・大東市!$J$32</f>
        <v>1900</v>
      </c>
      <c r="E47" s="95">
        <f>M四条畷市折込部数</f>
        <v>0</v>
      </c>
      <c r="F47" s="200">
        <f>守口市・交野市・四条畷市・大東市!$P$32</f>
        <v>2550</v>
      </c>
      <c r="G47" s="95">
        <f>S四条畷市折込部数</f>
        <v>0</v>
      </c>
      <c r="H47" s="200">
        <f>守口市・交野市・四条畷市・大東市!$V$32</f>
        <v>4150</v>
      </c>
      <c r="I47" s="95">
        <f>Y四条畷市折込部数</f>
        <v>0</v>
      </c>
      <c r="J47" s="200">
        <f>'日経(4) '!$D$41</f>
        <v>350</v>
      </c>
      <c r="K47" s="95">
        <f>'日経(4) '!$F$41</f>
        <v>0</v>
      </c>
      <c r="L47" s="201"/>
      <c r="M47" s="242"/>
      <c r="N47" s="40">
        <f t="shared" si="6"/>
        <v>10700</v>
      </c>
      <c r="O47" s="74">
        <f t="shared" si="7"/>
        <v>0</v>
      </c>
      <c r="P47" s="202">
        <v>17</v>
      </c>
    </row>
    <row r="48" spans="1:16">
      <c r="A48" s="199" t="s">
        <v>371</v>
      </c>
      <c r="B48" s="200">
        <f>守口市・交野市・四条畷市・大東市!$D$39</f>
        <v>2600</v>
      </c>
      <c r="C48" s="95">
        <f>A大東市折込部数</f>
        <v>0</v>
      </c>
      <c r="D48" s="200">
        <f>守口市・交野市・四条畷市・大東市!$J$39</f>
        <v>4850</v>
      </c>
      <c r="E48" s="95">
        <f>M大東市折込部数</f>
        <v>0</v>
      </c>
      <c r="F48" s="200">
        <f>守口市・交野市・四条畷市・大東市!$P$39</f>
        <v>3650</v>
      </c>
      <c r="G48" s="95">
        <f>S大東市折込部数</f>
        <v>0</v>
      </c>
      <c r="H48" s="200">
        <f>守口市・交野市・四条畷市・大東市!$V$39</f>
        <v>5550</v>
      </c>
      <c r="I48" s="95">
        <f>Y大東市折込部数</f>
        <v>0</v>
      </c>
      <c r="J48" s="200">
        <f>'日経(4) '!$J$21</f>
        <v>600</v>
      </c>
      <c r="K48" s="95">
        <f>'日経(4) '!$L$21</f>
        <v>0</v>
      </c>
      <c r="L48" s="201"/>
      <c r="M48" s="242"/>
      <c r="N48" s="40">
        <f t="shared" si="6"/>
        <v>17250</v>
      </c>
      <c r="O48" s="74">
        <f t="shared" si="7"/>
        <v>0</v>
      </c>
      <c r="P48" s="202">
        <v>17</v>
      </c>
    </row>
    <row r="49" spans="1:16">
      <c r="A49" s="199" t="s">
        <v>373</v>
      </c>
      <c r="B49" s="200">
        <f>東大阪市!$D$32</f>
        <v>12200</v>
      </c>
      <c r="C49" s="95">
        <f>A東大阪市折込部数</f>
        <v>0</v>
      </c>
      <c r="D49" s="200">
        <f>東大阪市!$J$32</f>
        <v>14450</v>
      </c>
      <c r="E49" s="95">
        <f>M東大阪市折込部数</f>
        <v>0</v>
      </c>
      <c r="F49" s="200">
        <f>東大阪市!$P$32</f>
        <v>20950</v>
      </c>
      <c r="G49" s="95">
        <f>S東大阪市折込部数</f>
        <v>0</v>
      </c>
      <c r="H49" s="200">
        <f>東大阪市!$V$32</f>
        <v>23600</v>
      </c>
      <c r="I49" s="95">
        <f>Y東大阪市折込部数</f>
        <v>0</v>
      </c>
      <c r="J49" s="200">
        <f>'日経(4) '!$J$41</f>
        <v>3250</v>
      </c>
      <c r="K49" s="95">
        <f>'日経(4) '!$L$41</f>
        <v>0</v>
      </c>
      <c r="L49" s="201"/>
      <c r="M49" s="242"/>
      <c r="N49" s="40">
        <f t="shared" si="6"/>
        <v>74450</v>
      </c>
      <c r="O49" s="74">
        <f t="shared" si="7"/>
        <v>0</v>
      </c>
      <c r="P49" s="202">
        <v>18</v>
      </c>
    </row>
    <row r="50" spans="1:16">
      <c r="A50" s="199" t="s">
        <v>374</v>
      </c>
      <c r="B50" s="200">
        <f>八尾市・柏原市!$D$28</f>
        <v>8000</v>
      </c>
      <c r="C50" s="95">
        <f>A八尾市折込部数</f>
        <v>0</v>
      </c>
      <c r="D50" s="200">
        <f>八尾市・柏原市!$J$28</f>
        <v>10700</v>
      </c>
      <c r="E50" s="95">
        <f>M八尾市折込部数</f>
        <v>0</v>
      </c>
      <c r="F50" s="200">
        <f>八尾市・柏原市!$P$28</f>
        <v>12100</v>
      </c>
      <c r="G50" s="95">
        <f>S八尾市折込部数</f>
        <v>0</v>
      </c>
      <c r="H50" s="200">
        <f>八尾市・柏原市!$V$28</f>
        <v>15750</v>
      </c>
      <c r="I50" s="95">
        <f>Y八尾市折込部数</f>
        <v>0</v>
      </c>
      <c r="J50" s="200">
        <f>'日経(4) '!$P$34</f>
        <v>2250</v>
      </c>
      <c r="K50" s="95">
        <f>'日経(4) '!$R$34</f>
        <v>0</v>
      </c>
      <c r="L50" s="201"/>
      <c r="M50" s="242"/>
      <c r="N50" s="40">
        <f t="shared" si="6"/>
        <v>48800</v>
      </c>
      <c r="O50" s="74">
        <f t="shared" si="7"/>
        <v>0</v>
      </c>
      <c r="P50" s="202">
        <v>19</v>
      </c>
    </row>
    <row r="51" spans="1:16">
      <c r="A51" s="199" t="s">
        <v>375</v>
      </c>
      <c r="B51" s="200">
        <f>八尾市・柏原市!$D$34</f>
        <v>2700</v>
      </c>
      <c r="C51" s="95">
        <f>A柏原市折込部数</f>
        <v>0</v>
      </c>
      <c r="D51" s="200">
        <f>八尾市・柏原市!$J$34</f>
        <v>2300</v>
      </c>
      <c r="E51" s="95">
        <f>M柏原市折込部数</f>
        <v>0</v>
      </c>
      <c r="F51" s="200">
        <f>八尾市・柏原市!$P$34</f>
        <v>2700</v>
      </c>
      <c r="G51" s="95">
        <f>S柏原市折込部数</f>
        <v>0</v>
      </c>
      <c r="H51" s="200">
        <f>八尾市・柏原市!$V$34</f>
        <v>3900</v>
      </c>
      <c r="I51" s="95">
        <f>Y柏原市折込部数</f>
        <v>0</v>
      </c>
      <c r="J51" s="200">
        <f>'日経(4) '!$P$41</f>
        <v>650</v>
      </c>
      <c r="K51" s="95">
        <f>'日経(4) '!$R$41</f>
        <v>0</v>
      </c>
      <c r="L51" s="201"/>
      <c r="M51" s="242"/>
      <c r="N51" s="40">
        <f t="shared" si="6"/>
        <v>12250</v>
      </c>
      <c r="O51" s="74">
        <f t="shared" si="7"/>
        <v>0</v>
      </c>
      <c r="P51" s="202">
        <v>19</v>
      </c>
    </row>
    <row r="52" spans="1:16">
      <c r="A52" s="64" t="s">
        <v>376</v>
      </c>
      <c r="B52" s="40">
        <f>松原市・羽曳野市・藤井寺市!$D$19</f>
        <v>3800</v>
      </c>
      <c r="C52" s="74">
        <f>A松原市折込部数</f>
        <v>0</v>
      </c>
      <c r="D52" s="40">
        <f>松原市・羽曳野市・藤井寺市!$J$19</f>
        <v>4800</v>
      </c>
      <c r="E52" s="74">
        <f>M松原市折込部数</f>
        <v>0</v>
      </c>
      <c r="F52" s="40">
        <f>松原市・羽曳野市・藤井寺市!$P$19</f>
        <v>8050</v>
      </c>
      <c r="G52" s="74">
        <f>S松原市折込部数</f>
        <v>0</v>
      </c>
      <c r="H52" s="40">
        <f>松原市・羽曳野市・藤井寺市!$V$19</f>
        <v>10300</v>
      </c>
      <c r="I52" s="74">
        <f>Y松原市折込部数</f>
        <v>0</v>
      </c>
      <c r="J52" s="40">
        <f>'日経(4) '!$V$22</f>
        <v>850</v>
      </c>
      <c r="K52" s="74">
        <f>'日経(4) '!$X$22</f>
        <v>0</v>
      </c>
      <c r="L52" s="42"/>
      <c r="M52" s="5"/>
      <c r="N52" s="40">
        <f t="shared" si="6"/>
        <v>27800</v>
      </c>
      <c r="O52" s="74">
        <f t="shared" ref="O52:O58" si="8">+C52+E52+G52+I52+K52</f>
        <v>0</v>
      </c>
      <c r="P52" s="105">
        <v>20</v>
      </c>
    </row>
    <row r="53" spans="1:16">
      <c r="A53" s="64" t="s">
        <v>377</v>
      </c>
      <c r="B53" s="40">
        <f>松原市・羽曳野市・藤井寺市!$D$28</f>
        <v>3750</v>
      </c>
      <c r="C53" s="74">
        <f>A羽曳野市折込部数</f>
        <v>0</v>
      </c>
      <c r="D53" s="40">
        <f>松原市・羽曳野市・藤井寺市!$J$28</f>
        <v>2050</v>
      </c>
      <c r="E53" s="74">
        <f>M羽曳野市折込部数</f>
        <v>0</v>
      </c>
      <c r="F53" s="40">
        <f>松原市・羽曳野市・藤井寺市!$P$28</f>
        <v>3800</v>
      </c>
      <c r="G53" s="74">
        <f>S羽曳野市折込部数</f>
        <v>0</v>
      </c>
      <c r="H53" s="40">
        <f>松原市・羽曳野市・藤井寺市!$V$28</f>
        <v>6950</v>
      </c>
      <c r="I53" s="74">
        <f>Y羽曳野市折込部数</f>
        <v>0</v>
      </c>
      <c r="J53" s="40">
        <f>'日経(4) '!$V$34</f>
        <v>800</v>
      </c>
      <c r="K53" s="74">
        <f>'日経(4) '!$X$34</f>
        <v>0</v>
      </c>
      <c r="L53" s="42"/>
      <c r="M53" s="5"/>
      <c r="N53" s="40">
        <f t="shared" si="6"/>
        <v>17350</v>
      </c>
      <c r="O53" s="74">
        <f t="shared" si="8"/>
        <v>0</v>
      </c>
      <c r="P53" s="105">
        <v>20</v>
      </c>
    </row>
    <row r="54" spans="1:16">
      <c r="A54" s="64" t="s">
        <v>378</v>
      </c>
      <c r="B54" s="40">
        <f>松原市・羽曳野市・藤井寺市!$D$35</f>
        <v>2400</v>
      </c>
      <c r="C54" s="74">
        <f>A藤井寺市折込部数</f>
        <v>0</v>
      </c>
      <c r="D54" s="40">
        <f>松原市・羽曳野市・藤井寺市!$J$35</f>
        <v>6750</v>
      </c>
      <c r="E54" s="74">
        <f>M藤井寺市折込部数</f>
        <v>0</v>
      </c>
      <c r="F54" s="40">
        <f>松原市・羽曳野市・藤井寺市!$P$35</f>
        <v>4100</v>
      </c>
      <c r="G54" s="74">
        <f>S藤井寺市折込部数</f>
        <v>0</v>
      </c>
      <c r="H54" s="40">
        <f>松原市・羽曳野市・藤井寺市!$V$35</f>
        <v>3050</v>
      </c>
      <c r="I54" s="74">
        <f>Y藤井寺市折込部数</f>
        <v>0</v>
      </c>
      <c r="J54" s="40">
        <f>'日経(4) '!$V$41</f>
        <v>600</v>
      </c>
      <c r="K54" s="74">
        <f>'日経(4) '!$X$41</f>
        <v>0</v>
      </c>
      <c r="L54" s="42"/>
      <c r="M54" s="5"/>
      <c r="N54" s="40">
        <f t="shared" si="6"/>
        <v>16900</v>
      </c>
      <c r="O54" s="74">
        <f t="shared" si="8"/>
        <v>0</v>
      </c>
      <c r="P54" s="105">
        <v>20</v>
      </c>
    </row>
    <row r="55" spans="1:16">
      <c r="A55" s="64" t="s">
        <v>379</v>
      </c>
      <c r="B55" s="40">
        <f>富田林市・河内長野市・南河内郡・大阪狭山市!$D$18</f>
        <v>5750</v>
      </c>
      <c r="C55" s="74">
        <f>A富田林市折込部数</f>
        <v>0</v>
      </c>
      <c r="D55" s="40">
        <f>富田林市・河内長野市・南河内郡・大阪狭山市!$J$18</f>
        <v>6150</v>
      </c>
      <c r="E55" s="74">
        <f>M富田林市折込部数</f>
        <v>0</v>
      </c>
      <c r="F55" s="40">
        <f>富田林市・河内長野市・南河内郡・大阪狭山市!$P$18</f>
        <v>6200</v>
      </c>
      <c r="G55" s="74">
        <f>S富田林市折込部数</f>
        <v>0</v>
      </c>
      <c r="H55" s="40">
        <f>富田林市・河内長野市・南河内郡・大阪狭山市!$V$18</f>
        <v>7150</v>
      </c>
      <c r="I55" s="74">
        <f>Y富田林市折込部数</f>
        <v>0</v>
      </c>
      <c r="J55" s="40">
        <f>'日経(4) '!$AB$21</f>
        <v>1300</v>
      </c>
      <c r="K55" s="74">
        <f>'日経(4) '!$AD$21</f>
        <v>0</v>
      </c>
      <c r="L55" s="42"/>
      <c r="M55" s="5"/>
      <c r="N55" s="40">
        <f t="shared" si="6"/>
        <v>26550</v>
      </c>
      <c r="O55" s="74">
        <f t="shared" si="8"/>
        <v>0</v>
      </c>
      <c r="P55" s="105">
        <v>21</v>
      </c>
    </row>
    <row r="56" spans="1:16">
      <c r="A56" s="64" t="s">
        <v>380</v>
      </c>
      <c r="B56" s="40">
        <f>富田林市・河内長野市・南河内郡・大阪狭山市!$D$28</f>
        <v>7350</v>
      </c>
      <c r="C56" s="74">
        <f>A河内永野市折込部数</f>
        <v>0</v>
      </c>
      <c r="D56" s="40">
        <f>富田林市・河内長野市・南河内郡・大阪狭山市!$J$28</f>
        <v>0</v>
      </c>
      <c r="E56" s="74">
        <f>M河内長野市折込部数</f>
        <v>0</v>
      </c>
      <c r="F56" s="40">
        <f>富田林市・河内長野市・南河内郡・大阪狭山市!$P$28</f>
        <v>7400</v>
      </c>
      <c r="G56" s="74">
        <f>S河内長野市折込部数</f>
        <v>0</v>
      </c>
      <c r="H56" s="40">
        <f>富田林市・河内長野市・南河内郡・大阪狭山市!$V$28</f>
        <v>5200</v>
      </c>
      <c r="I56" s="74">
        <f>Y河内長野市折込部数</f>
        <v>0</v>
      </c>
      <c r="J56" s="40">
        <f>'日経(4) '!$AB$27</f>
        <v>950</v>
      </c>
      <c r="K56" s="74">
        <f>'日経(4) '!$AD$27</f>
        <v>0</v>
      </c>
      <c r="L56" s="42"/>
      <c r="M56" s="5"/>
      <c r="N56" s="40">
        <f t="shared" si="6"/>
        <v>20900</v>
      </c>
      <c r="O56" s="74">
        <f t="shared" si="8"/>
        <v>0</v>
      </c>
      <c r="P56" s="105">
        <v>21</v>
      </c>
    </row>
    <row r="57" spans="1:16">
      <c r="A57" s="64" t="s">
        <v>381</v>
      </c>
      <c r="B57" s="40">
        <f>富田林市・河内長野市・南河内郡・大阪狭山市!$D$35</f>
        <v>700</v>
      </c>
      <c r="C57" s="74">
        <f>A南河内郡折込部数</f>
        <v>0</v>
      </c>
      <c r="D57" s="40">
        <f>富田林市・河内長野市・南河内郡・大阪狭山市!$J$35</f>
        <v>0</v>
      </c>
      <c r="E57" s="74">
        <f>M南河内郡折込部数</f>
        <v>0</v>
      </c>
      <c r="F57" s="40">
        <f>富田林市・河内長野市・南河内郡・大阪狭山市!$P$35</f>
        <v>600</v>
      </c>
      <c r="G57" s="74">
        <f>S南河内郡折込部数</f>
        <v>0</v>
      </c>
      <c r="H57" s="40">
        <f>富田林市・河内長野市・南河内郡・大阪狭山市!$V$35</f>
        <v>0</v>
      </c>
      <c r="I57" s="74">
        <f>Y南河内郡折込部数</f>
        <v>0</v>
      </c>
      <c r="J57" s="40">
        <f>'日経(4) '!$AB$40</f>
        <v>100</v>
      </c>
      <c r="K57" s="74">
        <f>'日経(4) '!$AD$40</f>
        <v>0</v>
      </c>
      <c r="L57" s="42"/>
      <c r="M57" s="5"/>
      <c r="N57" s="40">
        <f t="shared" si="6"/>
        <v>1400</v>
      </c>
      <c r="O57" s="74">
        <f t="shared" si="8"/>
        <v>0</v>
      </c>
      <c r="P57" s="105">
        <v>21</v>
      </c>
    </row>
    <row r="58" spans="1:16">
      <c r="A58" s="64" t="s">
        <v>382</v>
      </c>
      <c r="B58" s="40">
        <f>富田林市・河内長野市・南河内郡・大阪狭山市!$D$41</f>
        <v>2000</v>
      </c>
      <c r="C58" s="74">
        <f>A大阪狭山市折込部数</f>
        <v>0</v>
      </c>
      <c r="D58" s="40">
        <f>富田林市・河内長野市・南河内郡・大阪狭山市!$J$41</f>
        <v>950</v>
      </c>
      <c r="E58" s="74">
        <f>M大阪狭山市折込部数</f>
        <v>0</v>
      </c>
      <c r="F58" s="40">
        <f>富田林市・河内長野市・南河内郡・大阪狭山市!$P$41</f>
        <v>2850</v>
      </c>
      <c r="G58" s="74">
        <f>S大阪狭山市折込部数</f>
        <v>0</v>
      </c>
      <c r="H58" s="40">
        <f>富田林市・河内長野市・南河内郡・大阪狭山市!$V$41</f>
        <v>2700</v>
      </c>
      <c r="I58" s="74">
        <f>Y大阪狭山市折込部数</f>
        <v>0</v>
      </c>
      <c r="J58" s="40">
        <f>'日経(5) '!$D$18</f>
        <v>550</v>
      </c>
      <c r="K58" s="74">
        <f>'日経(5) '!$F$18</f>
        <v>0</v>
      </c>
      <c r="L58" s="42"/>
      <c r="M58" s="5"/>
      <c r="N58" s="40">
        <f t="shared" si="6"/>
        <v>9050</v>
      </c>
      <c r="O58" s="74">
        <f t="shared" si="8"/>
        <v>0</v>
      </c>
      <c r="P58" s="105">
        <v>21</v>
      </c>
    </row>
    <row r="59" spans="1:16" s="46" customFormat="1">
      <c r="A59" s="48" t="s">
        <v>383</v>
      </c>
      <c r="B59" s="47">
        <f t="shared" ref="B59:K59" si="9">SUM(B42:B58)</f>
        <v>90050</v>
      </c>
      <c r="C59" s="98">
        <f t="shared" si="9"/>
        <v>0</v>
      </c>
      <c r="D59" s="47">
        <f t="shared" si="9"/>
        <v>91400</v>
      </c>
      <c r="E59" s="98">
        <f t="shared" si="9"/>
        <v>0</v>
      </c>
      <c r="F59" s="47">
        <f t="shared" si="9"/>
        <v>100700</v>
      </c>
      <c r="G59" s="98">
        <f t="shared" si="9"/>
        <v>0</v>
      </c>
      <c r="H59" s="47">
        <f t="shared" si="9"/>
        <v>152650</v>
      </c>
      <c r="I59" s="98">
        <f t="shared" si="9"/>
        <v>0</v>
      </c>
      <c r="J59" s="47">
        <f t="shared" si="9"/>
        <v>21700</v>
      </c>
      <c r="K59" s="98">
        <f t="shared" si="9"/>
        <v>0</v>
      </c>
      <c r="L59" s="47">
        <f>SUM(L42:L58)</f>
        <v>0</v>
      </c>
      <c r="M59" s="98">
        <f>SUM(M42:M58)</f>
        <v>0</v>
      </c>
      <c r="N59" s="116">
        <f>SUM(N42:N58)</f>
        <v>456500</v>
      </c>
      <c r="O59" s="98">
        <f>SUM(O42:O58)</f>
        <v>0</v>
      </c>
      <c r="P59" s="106"/>
    </row>
    <row r="60" spans="1:16">
      <c r="A60" s="50" t="s">
        <v>384</v>
      </c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7"/>
      <c r="M60" s="56"/>
      <c r="N60" s="58"/>
      <c r="O60" s="68"/>
      <c r="P60" s="107"/>
    </row>
    <row r="61" spans="1:16">
      <c r="A61" s="63" t="s">
        <v>62</v>
      </c>
      <c r="B61" s="41">
        <f>堺区・中区!$D$21</f>
        <v>3900</v>
      </c>
      <c r="C61" s="73">
        <f>A堺区折込部数</f>
        <v>0</v>
      </c>
      <c r="D61" s="41">
        <f>堺区・中区!$J$21</f>
        <v>3850</v>
      </c>
      <c r="E61" s="73">
        <f>M堺区折込部数</f>
        <v>0</v>
      </c>
      <c r="F61" s="41">
        <f>堺区・中区!$P$21</f>
        <v>6000</v>
      </c>
      <c r="G61" s="73">
        <f>S堺区折込部数</f>
        <v>0</v>
      </c>
      <c r="H61" s="41">
        <f>堺区・中区!$V$21</f>
        <v>9650</v>
      </c>
      <c r="I61" s="73">
        <f>Y堺区折込部数</f>
        <v>0</v>
      </c>
      <c r="J61" s="41">
        <f>'日経(5) '!$D$33</f>
        <v>1950</v>
      </c>
      <c r="K61" s="73">
        <f>'日経(5) '!$F$33</f>
        <v>0</v>
      </c>
      <c r="L61" s="39"/>
      <c r="M61" s="73"/>
      <c r="N61" s="40">
        <f t="shared" ref="N61:N67" si="10">B61+D61+F61+H61+J61+L61</f>
        <v>25350</v>
      </c>
      <c r="O61" s="74">
        <f t="shared" ref="O61:O67" si="11">+C61+E61+G61+I61+K61</f>
        <v>0</v>
      </c>
      <c r="P61" s="104">
        <v>22</v>
      </c>
    </row>
    <row r="62" spans="1:16">
      <c r="A62" s="199" t="s">
        <v>386</v>
      </c>
      <c r="B62" s="200">
        <f>堺区・中区!$D$31</f>
        <v>4350</v>
      </c>
      <c r="C62" s="95">
        <f>A中区折込部数</f>
        <v>0</v>
      </c>
      <c r="D62" s="200">
        <f>堺区・中区!$J$31</f>
        <v>4550</v>
      </c>
      <c r="E62" s="95">
        <f>M中区折込部数</f>
        <v>0</v>
      </c>
      <c r="F62" s="200">
        <f>堺区・中区!$P$31</f>
        <v>5700</v>
      </c>
      <c r="G62" s="95">
        <f>S中区折込部数</f>
        <v>0</v>
      </c>
      <c r="H62" s="200">
        <f>堺区・中区!$V$31</f>
        <v>7500</v>
      </c>
      <c r="I62" s="95">
        <f>Y中区折込部数</f>
        <v>0</v>
      </c>
      <c r="J62" s="200">
        <f>'日経(5) '!$D$41</f>
        <v>700</v>
      </c>
      <c r="K62" s="95">
        <f>'日経(5) '!$F$41</f>
        <v>0</v>
      </c>
      <c r="L62" s="201"/>
      <c r="M62" s="95"/>
      <c r="N62" s="40">
        <f t="shared" si="10"/>
        <v>22800</v>
      </c>
      <c r="O62" s="74">
        <f t="shared" si="11"/>
        <v>0</v>
      </c>
      <c r="P62" s="202">
        <v>22</v>
      </c>
    </row>
    <row r="63" spans="1:16">
      <c r="A63" s="199" t="s">
        <v>387</v>
      </c>
      <c r="B63" s="200">
        <f>東区・西区!$D$21</f>
        <v>4300</v>
      </c>
      <c r="C63" s="95">
        <f>A東区折込部数</f>
        <v>0</v>
      </c>
      <c r="D63" s="200">
        <f>東区・西区!$J$21</f>
        <v>6450</v>
      </c>
      <c r="E63" s="95">
        <f>M東区折込部数</f>
        <v>0</v>
      </c>
      <c r="F63" s="200">
        <f>東区・西区!$P$21</f>
        <v>3000</v>
      </c>
      <c r="G63" s="95">
        <f>S東区折込部数</f>
        <v>0</v>
      </c>
      <c r="H63" s="200">
        <f>東区・西区!$V$21</f>
        <v>3550</v>
      </c>
      <c r="I63" s="95">
        <f>Y東区折込部数</f>
        <v>0</v>
      </c>
      <c r="J63" s="200">
        <f>'日経(5) '!$J$23</f>
        <v>1350</v>
      </c>
      <c r="K63" s="95">
        <f>'日経(5) '!$L$23</f>
        <v>0</v>
      </c>
      <c r="L63" s="201"/>
      <c r="M63" s="95"/>
      <c r="N63" s="40">
        <f t="shared" si="10"/>
        <v>18650</v>
      </c>
      <c r="O63" s="74">
        <f t="shared" si="11"/>
        <v>0</v>
      </c>
      <c r="P63" s="202">
        <v>23</v>
      </c>
    </row>
    <row r="64" spans="1:16">
      <c r="A64" s="199" t="s">
        <v>331</v>
      </c>
      <c r="B64" s="200">
        <f>東区・西区!$D$31</f>
        <v>4050</v>
      </c>
      <c r="C64" s="95">
        <f>A西区折込部数</f>
        <v>0</v>
      </c>
      <c r="D64" s="200">
        <f>東区・西区!$J$31</f>
        <v>3300</v>
      </c>
      <c r="E64" s="95">
        <f>M西区折込部数</f>
        <v>0</v>
      </c>
      <c r="F64" s="200">
        <f>東区・西区!$P$31</f>
        <v>8000</v>
      </c>
      <c r="G64" s="95">
        <f>S西区折込部数</f>
        <v>0</v>
      </c>
      <c r="H64" s="200">
        <f>東区・西区!$V$31</f>
        <v>4650</v>
      </c>
      <c r="I64" s="95">
        <f>Y西区折込部数</f>
        <v>0</v>
      </c>
      <c r="J64" s="200">
        <f>'日経(5) '!$J$36</f>
        <v>1000</v>
      </c>
      <c r="K64" s="95">
        <f>'日経(5) '!$L$36</f>
        <v>0</v>
      </c>
      <c r="L64" s="201"/>
      <c r="M64" s="95"/>
      <c r="N64" s="40">
        <f t="shared" si="10"/>
        <v>21000</v>
      </c>
      <c r="O64" s="74">
        <f t="shared" si="11"/>
        <v>0</v>
      </c>
      <c r="P64" s="202">
        <v>23</v>
      </c>
    </row>
    <row r="65" spans="1:16">
      <c r="A65" s="199" t="s">
        <v>388</v>
      </c>
      <c r="B65" s="200">
        <f>南区・北区・美原区!$D$20</f>
        <v>7250</v>
      </c>
      <c r="C65" s="95">
        <f>A南区折込部数</f>
        <v>0</v>
      </c>
      <c r="D65" s="200">
        <f>南区・北区・美原区!$J$20</f>
        <v>4450</v>
      </c>
      <c r="E65" s="95">
        <f>M南区折込部数</f>
        <v>0</v>
      </c>
      <c r="F65" s="200">
        <f>南区・北区・美原区!$P$20</f>
        <v>6050</v>
      </c>
      <c r="G65" s="95">
        <f>S南区折込部数</f>
        <v>0</v>
      </c>
      <c r="H65" s="200">
        <f>南区・北区・美原区!$V$20</f>
        <v>7900</v>
      </c>
      <c r="I65" s="95">
        <f>Y南区折込部数</f>
        <v>0</v>
      </c>
      <c r="J65" s="200">
        <f>'日経(5) '!$P$19</f>
        <v>1450</v>
      </c>
      <c r="K65" s="95">
        <f>'日経(5) '!$R$19</f>
        <v>0</v>
      </c>
      <c r="L65" s="201"/>
      <c r="M65" s="95"/>
      <c r="N65" s="40">
        <f t="shared" si="10"/>
        <v>27100</v>
      </c>
      <c r="O65" s="74">
        <f t="shared" si="11"/>
        <v>0</v>
      </c>
      <c r="P65" s="202">
        <v>24</v>
      </c>
    </row>
    <row r="66" spans="1:16">
      <c r="A66" s="64" t="s">
        <v>335</v>
      </c>
      <c r="B66" s="40">
        <f>南区・北区・美原区!$D$31</f>
        <v>5450</v>
      </c>
      <c r="C66" s="74">
        <f>A北区折込部数</f>
        <v>0</v>
      </c>
      <c r="D66" s="40">
        <f>南区・北区・美原区!$J$31</f>
        <v>8600</v>
      </c>
      <c r="E66" s="74">
        <f>M北区折込部数</f>
        <v>0</v>
      </c>
      <c r="F66" s="40">
        <f>南区・北区・美原区!$P$31</f>
        <v>8600</v>
      </c>
      <c r="G66" s="74">
        <f>S北区折込部数</f>
        <v>0</v>
      </c>
      <c r="H66" s="40">
        <f>南区・北区・美原区!$V$31</f>
        <v>10900</v>
      </c>
      <c r="I66" s="74">
        <f>Y北区折込部数</f>
        <v>0</v>
      </c>
      <c r="J66" s="40">
        <f>'日経(5) '!$P$34</f>
        <v>1550</v>
      </c>
      <c r="K66" s="74">
        <f>'日経(5) '!$R$34</f>
        <v>0</v>
      </c>
      <c r="L66" s="42"/>
      <c r="M66" s="74"/>
      <c r="N66" s="40">
        <f t="shared" si="10"/>
        <v>35100</v>
      </c>
      <c r="O66" s="74">
        <f t="shared" si="11"/>
        <v>0</v>
      </c>
      <c r="P66" s="105">
        <v>24</v>
      </c>
    </row>
    <row r="67" spans="1:16">
      <c r="A67" s="64" t="s">
        <v>77</v>
      </c>
      <c r="B67" s="40">
        <f>南区・北区・美原区!$D$36</f>
        <v>650</v>
      </c>
      <c r="C67" s="74">
        <f>A美原区折込部数</f>
        <v>0</v>
      </c>
      <c r="D67" s="40">
        <f>南区・北区・美原区!$J$36</f>
        <v>1000</v>
      </c>
      <c r="E67" s="74">
        <f>M美原区折込部数</f>
        <v>0</v>
      </c>
      <c r="F67" s="40">
        <f>南区・北区・美原区!$P$36</f>
        <v>2700</v>
      </c>
      <c r="G67" s="74">
        <f>S美原区折込部数</f>
        <v>0</v>
      </c>
      <c r="H67" s="40">
        <f>南区・北区・美原区!$V$36</f>
        <v>2200</v>
      </c>
      <c r="I67" s="74">
        <f>Y美原区折込部数</f>
        <v>0</v>
      </c>
      <c r="J67" s="40">
        <f>'日経(5) '!$P$39</f>
        <v>350</v>
      </c>
      <c r="K67" s="74">
        <f>'日経(5) '!R39</f>
        <v>0</v>
      </c>
      <c r="L67" s="42"/>
      <c r="M67" s="74"/>
      <c r="N67" s="40">
        <f t="shared" si="10"/>
        <v>6900</v>
      </c>
      <c r="O67" s="74">
        <f t="shared" si="11"/>
        <v>0</v>
      </c>
      <c r="P67" s="105">
        <v>24</v>
      </c>
    </row>
    <row r="68" spans="1:16" s="46" customFormat="1">
      <c r="A68" s="48" t="s">
        <v>389</v>
      </c>
      <c r="B68" s="97">
        <f t="shared" ref="B68:K68" si="12">SUM(B61:B67)</f>
        <v>29950</v>
      </c>
      <c r="C68" s="98">
        <f t="shared" si="12"/>
        <v>0</v>
      </c>
      <c r="D68" s="97">
        <f t="shared" si="12"/>
        <v>32200</v>
      </c>
      <c r="E68" s="98">
        <f t="shared" si="12"/>
        <v>0</v>
      </c>
      <c r="F68" s="47">
        <f t="shared" si="12"/>
        <v>40050</v>
      </c>
      <c r="G68" s="99">
        <f t="shared" si="12"/>
        <v>0</v>
      </c>
      <c r="H68" s="47">
        <f t="shared" si="12"/>
        <v>46350</v>
      </c>
      <c r="I68" s="99">
        <f t="shared" si="12"/>
        <v>0</v>
      </c>
      <c r="J68" s="47">
        <f t="shared" si="12"/>
        <v>8350</v>
      </c>
      <c r="K68" s="99">
        <f t="shared" si="12"/>
        <v>0</v>
      </c>
      <c r="L68" s="47">
        <f>SUM(L61:L67)</f>
        <v>0</v>
      </c>
      <c r="M68" s="98">
        <f>SUM(M61:M67)</f>
        <v>0</v>
      </c>
      <c r="N68" s="116">
        <f>SUM(N61:N67)</f>
        <v>156900</v>
      </c>
      <c r="O68" s="98">
        <f>SUM(O61:O67)</f>
        <v>0</v>
      </c>
      <c r="P68" s="106"/>
    </row>
    <row r="69" spans="1:16">
      <c r="A69" s="50" t="s">
        <v>56</v>
      </c>
      <c r="B69" s="65"/>
      <c r="C69" s="66"/>
      <c r="D69" s="68"/>
      <c r="E69" s="67"/>
      <c r="F69" s="66"/>
      <c r="G69" s="66"/>
      <c r="H69" s="68"/>
      <c r="I69" s="67"/>
      <c r="J69" s="66"/>
      <c r="K69" s="66"/>
      <c r="L69" s="38"/>
      <c r="M69" s="66"/>
      <c r="N69" s="69" t="s">
        <v>272</v>
      </c>
      <c r="O69" s="66"/>
      <c r="P69" s="112"/>
    </row>
    <row r="70" spans="1:16">
      <c r="A70" s="64" t="s">
        <v>390</v>
      </c>
      <c r="B70" s="41">
        <f>泉大津市・高石市・泉北郡!$D$18</f>
        <v>3100</v>
      </c>
      <c r="C70" s="73">
        <f>A泉大津市折込部数</f>
        <v>0</v>
      </c>
      <c r="D70" s="41">
        <f>泉大津市・高石市・泉北郡!$J$18</f>
        <v>2750</v>
      </c>
      <c r="E70" s="73">
        <f>M泉大津市折込部数</f>
        <v>0</v>
      </c>
      <c r="F70" s="41">
        <f>泉大津市・高石市・泉北郡!$P$18</f>
        <v>4100</v>
      </c>
      <c r="G70" s="73">
        <f>S泉大津市折込部数</f>
        <v>0</v>
      </c>
      <c r="H70" s="41">
        <f>泉大津市・高石市・泉北郡!$V$18</f>
        <v>1700</v>
      </c>
      <c r="I70" s="73">
        <f>Y泉大津市折込部数</f>
        <v>0</v>
      </c>
      <c r="J70" s="41">
        <f>'日経(5) '!$V$18</f>
        <v>550</v>
      </c>
      <c r="K70" s="73">
        <f>'日経(5) '!$X$18</f>
        <v>0</v>
      </c>
      <c r="L70" s="39"/>
      <c r="M70" s="4"/>
      <c r="N70" s="41">
        <f t="shared" ref="N70:N79" si="13">B70+D70+F70+H70+J70+L70</f>
        <v>12200</v>
      </c>
      <c r="O70" s="73">
        <f>+K70+I70+G70+E70+C70</f>
        <v>0</v>
      </c>
      <c r="P70" s="109">
        <v>25</v>
      </c>
    </row>
    <row r="71" spans="1:16">
      <c r="A71" s="188" t="s">
        <v>391</v>
      </c>
      <c r="B71" s="113">
        <f>泉大津市・高石市・泉北郡!$D$26</f>
        <v>1600</v>
      </c>
      <c r="C71" s="74">
        <f>A高石市折込部数</f>
        <v>0</v>
      </c>
      <c r="D71" s="40">
        <f>泉大津市・高石市・泉北郡!$J$26</f>
        <v>3500</v>
      </c>
      <c r="E71" s="268">
        <f>M高石市折込部数</f>
        <v>0</v>
      </c>
      <c r="F71" s="40">
        <f>泉大津市・高石市・泉北郡!$P$26</f>
        <v>2250</v>
      </c>
      <c r="G71" s="268">
        <f>S高石市折込部数</f>
        <v>0</v>
      </c>
      <c r="H71" s="40">
        <f>泉大津市・高石市・泉北郡!$V$26</f>
        <v>3000</v>
      </c>
      <c r="I71" s="268">
        <f>Y高石市折込部数</f>
        <v>0</v>
      </c>
      <c r="J71" s="40">
        <f>'日経(5) '!$V$25</f>
        <v>800</v>
      </c>
      <c r="K71" s="268">
        <f>'日経(5) '!$X$25</f>
        <v>0</v>
      </c>
      <c r="L71" s="42"/>
      <c r="M71" s="269"/>
      <c r="N71" s="40">
        <f t="shared" si="13"/>
        <v>11150</v>
      </c>
      <c r="O71" s="74">
        <f t="shared" ref="O71:O78" si="14">+C71+E71+G71+I71+K71</f>
        <v>0</v>
      </c>
      <c r="P71" s="111">
        <v>25</v>
      </c>
    </row>
    <row r="72" spans="1:16">
      <c r="A72" s="188" t="s">
        <v>392</v>
      </c>
      <c r="B72" s="113">
        <f>泉大津市・高石市・泉北郡!$D$31</f>
        <v>0</v>
      </c>
      <c r="C72" s="74">
        <f>A泉北郡折込部数</f>
        <v>0</v>
      </c>
      <c r="D72" s="40">
        <f>泉大津市・高石市・泉北郡!$J$31</f>
        <v>0</v>
      </c>
      <c r="E72" s="268">
        <f>M泉北郡折込部数</f>
        <v>0</v>
      </c>
      <c r="F72" s="40">
        <f>泉大津市・高石市・泉北郡!$P$31</f>
        <v>650</v>
      </c>
      <c r="G72" s="268">
        <f>S泉北郡折込部数</f>
        <v>0</v>
      </c>
      <c r="H72" s="40">
        <f>泉大津市・高石市・泉北郡!$V$31</f>
        <v>0</v>
      </c>
      <c r="I72" s="268">
        <f>Y泉北郡折込部数</f>
        <v>0</v>
      </c>
      <c r="J72" s="40">
        <f>'日経(5) '!$V$29</f>
        <v>0</v>
      </c>
      <c r="K72" s="268">
        <f>'日経(5) '!$X$29</f>
        <v>0</v>
      </c>
      <c r="L72" s="42"/>
      <c r="M72" s="269"/>
      <c r="N72" s="40">
        <f t="shared" si="13"/>
        <v>650</v>
      </c>
      <c r="O72" s="74">
        <f t="shared" si="14"/>
        <v>0</v>
      </c>
      <c r="P72" s="111">
        <v>25</v>
      </c>
    </row>
    <row r="73" spans="1:16">
      <c r="A73" s="188" t="s">
        <v>393</v>
      </c>
      <c r="B73" s="113">
        <f>岸和田市・貝塚市!$D$24</f>
        <v>4900</v>
      </c>
      <c r="C73" s="74">
        <f>A岸和田市折込部数</f>
        <v>0</v>
      </c>
      <c r="D73" s="40">
        <f>岸和田市・貝塚市!$J$24</f>
        <v>7350</v>
      </c>
      <c r="E73" s="268">
        <f>M岸和田市折込部数</f>
        <v>0</v>
      </c>
      <c r="F73" s="40">
        <f>岸和田市・貝塚市!$P$24</f>
        <v>10450</v>
      </c>
      <c r="G73" s="268">
        <f>S岸和田市折込部数</f>
        <v>0</v>
      </c>
      <c r="H73" s="40">
        <f>岸和田市・貝塚市!$V$24</f>
        <v>12150</v>
      </c>
      <c r="I73" s="268">
        <f>Y岸和田市折込部数</f>
        <v>0</v>
      </c>
      <c r="J73" s="40">
        <f>'日経(5) '!$V$41</f>
        <v>1500</v>
      </c>
      <c r="K73" s="268">
        <f>'日経(5) '!$X$41</f>
        <v>0</v>
      </c>
      <c r="L73" s="42"/>
      <c r="M73" s="269"/>
      <c r="N73" s="40">
        <f t="shared" si="13"/>
        <v>36350</v>
      </c>
      <c r="O73" s="74">
        <f t="shared" si="14"/>
        <v>0</v>
      </c>
      <c r="P73" s="111">
        <v>26</v>
      </c>
    </row>
    <row r="74" spans="1:16">
      <c r="A74" s="188" t="s">
        <v>406</v>
      </c>
      <c r="B74" s="113">
        <f>岸和田市・貝塚市!$D$34</f>
        <v>1650</v>
      </c>
      <c r="C74" s="74">
        <f>A貝塚市折込部数</f>
        <v>0</v>
      </c>
      <c r="D74" s="40">
        <f>岸和田市・貝塚市!$J$34</f>
        <v>2250</v>
      </c>
      <c r="E74" s="268">
        <f>M貝塚市折込部数</f>
        <v>0</v>
      </c>
      <c r="F74" s="40">
        <f>岸和田市・貝塚市!$P$34</f>
        <v>3150</v>
      </c>
      <c r="G74" s="268">
        <f>S貝塚市折込部数</f>
        <v>0</v>
      </c>
      <c r="H74" s="40">
        <f>岸和田市・貝塚市!$V$34</f>
        <v>5850</v>
      </c>
      <c r="I74" s="268">
        <f>Y貝塚市折込部数</f>
        <v>0</v>
      </c>
      <c r="J74" s="40">
        <f>'日経(5) '!$AB$16</f>
        <v>600</v>
      </c>
      <c r="K74" s="268">
        <f>'日経(5) '!$AD$16</f>
        <v>0</v>
      </c>
      <c r="L74" s="42"/>
      <c r="M74" s="269"/>
      <c r="N74" s="40">
        <f t="shared" si="13"/>
        <v>13500</v>
      </c>
      <c r="O74" s="74">
        <f t="shared" si="14"/>
        <v>0</v>
      </c>
      <c r="P74" s="111">
        <v>26</v>
      </c>
    </row>
    <row r="75" spans="1:16">
      <c r="A75" s="188" t="s">
        <v>407</v>
      </c>
      <c r="B75" s="113">
        <f>泉佐野市・和泉市!$D$21</f>
        <v>5050</v>
      </c>
      <c r="C75" s="74">
        <f>A泉佐野市折込部数</f>
        <v>0</v>
      </c>
      <c r="D75" s="40">
        <f>泉佐野市・和泉市!$J$21</f>
        <v>1800</v>
      </c>
      <c r="E75" s="268">
        <f>M泉佐野市折込部数</f>
        <v>0</v>
      </c>
      <c r="F75" s="40">
        <f>泉佐野市・和泉市!$P$21</f>
        <v>3100</v>
      </c>
      <c r="G75" s="268">
        <f>S泉佐野市折込部数</f>
        <v>0</v>
      </c>
      <c r="H75" s="40">
        <f>泉佐野市・和泉市!$V$21</f>
        <v>5950</v>
      </c>
      <c r="I75" s="268">
        <f>Y泉佐野市折込部数</f>
        <v>0</v>
      </c>
      <c r="J75" s="40">
        <f>'日経(5) '!$AB$24</f>
        <v>1500</v>
      </c>
      <c r="K75" s="268">
        <f>'日経(5) '!$AD$24</f>
        <v>0</v>
      </c>
      <c r="L75" s="42"/>
      <c r="M75" s="269"/>
      <c r="N75" s="40">
        <f t="shared" si="13"/>
        <v>17400</v>
      </c>
      <c r="O75" s="74">
        <f>+C75+E75+G75+I75+K75</f>
        <v>0</v>
      </c>
      <c r="P75" s="111">
        <v>27</v>
      </c>
    </row>
    <row r="76" spans="1:16">
      <c r="A76" s="188" t="s">
        <v>408</v>
      </c>
      <c r="B76" s="113">
        <f>泉佐野市・和泉市!$D$31</f>
        <v>6200</v>
      </c>
      <c r="C76" s="74">
        <f>A和泉市折込部数</f>
        <v>0</v>
      </c>
      <c r="D76" s="40">
        <f>泉佐野市・和泉市!$J$31</f>
        <v>6350</v>
      </c>
      <c r="E76" s="268">
        <f>M和泉市折込部数</f>
        <v>0</v>
      </c>
      <c r="F76" s="40">
        <f>泉佐野市・和泉市!$P$31</f>
        <v>9700</v>
      </c>
      <c r="G76" s="268">
        <f>S和泉市折込部数</f>
        <v>0</v>
      </c>
      <c r="H76" s="40">
        <f>泉佐野市・和泉市!$V$31</f>
        <v>8950</v>
      </c>
      <c r="I76" s="268">
        <f>Y和泉市折込部数</f>
        <v>0</v>
      </c>
      <c r="J76" s="40">
        <f>'日経(6)'!$D$24</f>
        <v>1650</v>
      </c>
      <c r="K76" s="268">
        <f>'日経(6)'!$F$24</f>
        <v>0</v>
      </c>
      <c r="L76" s="42">
        <f>泉佐野市・和泉市!$AB$31</f>
        <v>1000</v>
      </c>
      <c r="M76" s="268">
        <f>G和泉市折込部数</f>
        <v>0</v>
      </c>
      <c r="N76" s="40">
        <f>B76+D76+F76+H76+J76+L76</f>
        <v>33850</v>
      </c>
      <c r="O76" s="74">
        <f>+C76+E76+G76+I76+K76+M76</f>
        <v>0</v>
      </c>
      <c r="P76" s="111">
        <v>27</v>
      </c>
    </row>
    <row r="77" spans="1:16">
      <c r="A77" s="188" t="s">
        <v>409</v>
      </c>
      <c r="B77" s="113">
        <f>泉南市・阪南市・泉南郡!$D$18</f>
        <v>0</v>
      </c>
      <c r="C77" s="74">
        <f>A泉南市折込部数</f>
        <v>0</v>
      </c>
      <c r="D77" s="40">
        <f>泉南市・阪南市・泉南郡!$J$18</f>
        <v>0</v>
      </c>
      <c r="E77" s="268">
        <f>M泉南市折込部数</f>
        <v>0</v>
      </c>
      <c r="F77" s="40">
        <f>泉南市・阪南市・泉南郡!$P$18</f>
        <v>3800</v>
      </c>
      <c r="G77" s="268">
        <f>S泉南市折込部数</f>
        <v>0</v>
      </c>
      <c r="H77" s="40">
        <f>泉南市・阪南市・泉南郡!$V$18</f>
        <v>2400</v>
      </c>
      <c r="I77" s="268">
        <f>Y泉南市折込部数</f>
        <v>0</v>
      </c>
      <c r="J77" s="40">
        <f>'日経(6)'!$D$29</f>
        <v>0</v>
      </c>
      <c r="K77" s="268">
        <f>'日経(6)'!$F$29</f>
        <v>0</v>
      </c>
      <c r="L77" s="42"/>
      <c r="M77" s="269"/>
      <c r="N77" s="40">
        <f t="shared" si="13"/>
        <v>6200</v>
      </c>
      <c r="O77" s="74">
        <f t="shared" si="14"/>
        <v>0</v>
      </c>
      <c r="P77" s="111">
        <v>28</v>
      </c>
    </row>
    <row r="78" spans="1:16">
      <c r="A78" s="188" t="s">
        <v>410</v>
      </c>
      <c r="B78" s="113">
        <f>泉南市・阪南市・泉南郡!$D$24</f>
        <v>850</v>
      </c>
      <c r="C78" s="74">
        <f>A阪南市折込部数</f>
        <v>0</v>
      </c>
      <c r="D78" s="40">
        <f>泉南市・阪南市・泉南郡!$J$24</f>
        <v>1450</v>
      </c>
      <c r="E78" s="268">
        <f>M阪南市折込部数</f>
        <v>0</v>
      </c>
      <c r="F78" s="40">
        <f>泉南市・阪南市・泉南郡!$P$24</f>
        <v>1900</v>
      </c>
      <c r="G78" s="268">
        <f>S阪南市折込部数</f>
        <v>0</v>
      </c>
      <c r="H78" s="40">
        <f>泉南市・阪南市・泉南郡!$V$24</f>
        <v>4100</v>
      </c>
      <c r="I78" s="268">
        <f>Y阪南市折込部数</f>
        <v>0</v>
      </c>
      <c r="J78" s="40">
        <f>'日経(6)'!$J$17</f>
        <v>250</v>
      </c>
      <c r="K78" s="268">
        <f>'日経(6)'!$L$17</f>
        <v>0</v>
      </c>
      <c r="L78" s="42"/>
      <c r="M78" s="269"/>
      <c r="N78" s="40">
        <f t="shared" si="13"/>
        <v>8550</v>
      </c>
      <c r="O78" s="74">
        <f t="shared" si="14"/>
        <v>0</v>
      </c>
      <c r="P78" s="111">
        <v>28</v>
      </c>
    </row>
    <row r="79" spans="1:16">
      <c r="A79" s="188" t="s">
        <v>411</v>
      </c>
      <c r="B79" s="113">
        <f>泉南市・阪南市・泉南郡!$D$33</f>
        <v>2150</v>
      </c>
      <c r="C79" s="74">
        <f>A泉南郡折込部数</f>
        <v>0</v>
      </c>
      <c r="D79" s="40">
        <f>泉南市・阪南市・泉南郡!$J$33</f>
        <v>2100</v>
      </c>
      <c r="E79" s="268">
        <f>M泉南郡折込部数</f>
        <v>0</v>
      </c>
      <c r="F79" s="40">
        <f>泉南市・阪南市・泉南郡!$P$33</f>
        <v>3800</v>
      </c>
      <c r="G79" s="268">
        <f>S泉南郡折込部数</f>
        <v>0</v>
      </c>
      <c r="H79" s="40">
        <f>泉南市・阪南市・泉南郡!$V$33</f>
        <v>3500</v>
      </c>
      <c r="I79" s="268">
        <f>Y泉南郡折込部数</f>
        <v>0</v>
      </c>
      <c r="J79" s="40">
        <f>'日経(6)'!$J$24</f>
        <v>350</v>
      </c>
      <c r="K79" s="268">
        <f>'日経(6)'!$L$24</f>
        <v>0</v>
      </c>
      <c r="L79" s="42">
        <f>泉南市・阪南市・泉南郡!$AB$33</f>
        <v>150</v>
      </c>
      <c r="M79" s="269">
        <f>泉南市・阪南市・泉南郡!AD33</f>
        <v>0</v>
      </c>
      <c r="N79" s="40">
        <f t="shared" si="13"/>
        <v>12050</v>
      </c>
      <c r="O79" s="74">
        <f>+C79+E79+G79+I79+K79+M79</f>
        <v>0</v>
      </c>
      <c r="P79" s="111">
        <v>28</v>
      </c>
    </row>
    <row r="80" spans="1:16" s="46" customFormat="1">
      <c r="A80" s="48" t="s">
        <v>57</v>
      </c>
      <c r="B80" s="47">
        <f t="shared" ref="B80:L80" si="15">SUM(B70:B79)</f>
        <v>25500</v>
      </c>
      <c r="C80" s="99">
        <f t="shared" si="15"/>
        <v>0</v>
      </c>
      <c r="D80" s="47">
        <f t="shared" si="15"/>
        <v>27550</v>
      </c>
      <c r="E80" s="99">
        <f t="shared" si="15"/>
        <v>0</v>
      </c>
      <c r="F80" s="47">
        <f t="shared" si="15"/>
        <v>42900</v>
      </c>
      <c r="G80" s="99">
        <f t="shared" si="15"/>
        <v>0</v>
      </c>
      <c r="H80" s="47">
        <f t="shared" si="15"/>
        <v>47600</v>
      </c>
      <c r="I80" s="99">
        <f t="shared" si="15"/>
        <v>0</v>
      </c>
      <c r="J80" s="47">
        <f t="shared" si="15"/>
        <v>7200</v>
      </c>
      <c r="K80" s="99">
        <f t="shared" si="15"/>
        <v>0</v>
      </c>
      <c r="L80" s="47">
        <f t="shared" si="15"/>
        <v>1150</v>
      </c>
      <c r="M80" s="99">
        <f>SUM(M70:M79)</f>
        <v>0</v>
      </c>
      <c r="N80" s="47">
        <f>SUM(N70:N79)</f>
        <v>151900</v>
      </c>
      <c r="O80" s="98">
        <f>SUM(O70:O79)</f>
        <v>0</v>
      </c>
      <c r="P80" s="110"/>
    </row>
    <row r="81" spans="1:17" s="46" customFormat="1" ht="19.95" customHeight="1">
      <c r="A81" s="54" t="s">
        <v>60</v>
      </c>
      <c r="B81" s="53">
        <f t="shared" ref="B81:N81" si="16">B29+B40+B59+B68+B80</f>
        <v>308800</v>
      </c>
      <c r="C81" s="192">
        <f t="shared" si="16"/>
        <v>0</v>
      </c>
      <c r="D81" s="53">
        <f t="shared" si="16"/>
        <v>335000</v>
      </c>
      <c r="E81" s="192">
        <f t="shared" si="16"/>
        <v>0</v>
      </c>
      <c r="F81" s="53">
        <f t="shared" si="16"/>
        <v>300600</v>
      </c>
      <c r="G81" s="192">
        <f t="shared" si="16"/>
        <v>0</v>
      </c>
      <c r="H81" s="53">
        <f t="shared" si="16"/>
        <v>471550</v>
      </c>
      <c r="I81" s="192">
        <f t="shared" si="16"/>
        <v>0</v>
      </c>
      <c r="J81" s="53">
        <f t="shared" si="16"/>
        <v>111150</v>
      </c>
      <c r="K81" s="192">
        <f t="shared" si="16"/>
        <v>0</v>
      </c>
      <c r="L81" s="206">
        <f t="shared" si="16"/>
        <v>2500</v>
      </c>
      <c r="M81" s="192">
        <f t="shared" si="16"/>
        <v>0</v>
      </c>
      <c r="N81" s="53">
        <f t="shared" si="16"/>
        <v>1529600</v>
      </c>
      <c r="O81" s="193">
        <f>O29+O40+O59+O68+O80</f>
        <v>0</v>
      </c>
      <c r="P81" s="108"/>
      <c r="Q81" s="52" t="s">
        <v>272</v>
      </c>
    </row>
    <row r="82" spans="1:17">
      <c r="K82" s="13"/>
      <c r="M82" s="13" t="s">
        <v>272</v>
      </c>
      <c r="N82" s="786">
        <f>提案表紙!O42</f>
        <v>45717</v>
      </c>
      <c r="O82" s="787"/>
      <c r="P82" s="13"/>
    </row>
    <row r="83" spans="1:17" ht="19.2">
      <c r="A83" s="61"/>
      <c r="E83" s="115"/>
      <c r="L83" s="21"/>
    </row>
    <row r="84" spans="1:17" ht="13.5" customHeight="1">
      <c r="B84" s="791"/>
      <c r="C84" s="791"/>
      <c r="D84" s="792"/>
      <c r="E84" s="792"/>
      <c r="F84" s="791"/>
      <c r="G84" s="791"/>
      <c r="H84" s="791"/>
      <c r="I84" s="791"/>
      <c r="J84" s="791"/>
      <c r="K84" s="791"/>
      <c r="L84" s="793"/>
      <c r="M84" s="793"/>
      <c r="N84" s="791"/>
      <c r="O84" s="791"/>
      <c r="P84" s="790"/>
    </row>
    <row r="85" spans="1:17">
      <c r="B85" s="18"/>
      <c r="D85" s="18"/>
      <c r="F85" s="18"/>
      <c r="H85" s="18"/>
      <c r="J85" s="18"/>
      <c r="L85" s="18"/>
      <c r="N85" s="18"/>
      <c r="P85" s="790"/>
    </row>
    <row r="86" spans="1:17">
      <c r="A86" s="46"/>
      <c r="L86" s="21"/>
    </row>
    <row r="87" spans="1:17">
      <c r="A87" s="243"/>
      <c r="B87" s="20"/>
      <c r="C87" s="189"/>
      <c r="H87" s="20"/>
      <c r="I87" s="189"/>
      <c r="L87" s="21"/>
      <c r="M87" s="244"/>
      <c r="N87" s="20"/>
      <c r="O87" s="189"/>
    </row>
    <row r="88" spans="1:17" s="46" customFormat="1">
      <c r="B88" s="52"/>
      <c r="C88" s="244"/>
      <c r="D88" s="52"/>
      <c r="E88" s="52"/>
      <c r="F88" s="52"/>
      <c r="G88" s="52"/>
      <c r="H88" s="52"/>
      <c r="I88" s="244"/>
      <c r="J88" s="52"/>
      <c r="K88" s="52"/>
      <c r="L88" s="52"/>
      <c r="M88" s="244"/>
      <c r="N88" s="52"/>
      <c r="O88" s="244"/>
      <c r="P88" s="245"/>
    </row>
    <row r="89" spans="1:17">
      <c r="A89" s="46"/>
      <c r="L89" s="21"/>
      <c r="N89" s="20"/>
    </row>
    <row r="90" spans="1:17">
      <c r="A90" s="243"/>
      <c r="B90" s="20"/>
      <c r="C90" s="189"/>
      <c r="D90" s="20"/>
      <c r="E90" s="189"/>
      <c r="F90" s="20"/>
      <c r="G90" s="189"/>
      <c r="I90" s="189"/>
      <c r="L90" s="21"/>
      <c r="N90" s="20"/>
      <c r="O90" s="189"/>
    </row>
    <row r="91" spans="1:17" s="46" customFormat="1">
      <c r="B91" s="52"/>
      <c r="C91" s="244"/>
      <c r="D91" s="52"/>
      <c r="E91" s="244"/>
      <c r="F91" s="52"/>
      <c r="G91" s="244"/>
      <c r="H91" s="52"/>
      <c r="I91" s="244"/>
      <c r="J91" s="52"/>
      <c r="K91" s="52"/>
      <c r="L91" s="52"/>
      <c r="M91" s="52"/>
      <c r="N91" s="52"/>
      <c r="O91" s="244"/>
      <c r="P91" s="245"/>
    </row>
    <row r="92" spans="1:17">
      <c r="A92" s="46"/>
      <c r="L92" s="21"/>
      <c r="N92" s="20"/>
    </row>
    <row r="93" spans="1:17">
      <c r="A93" s="243"/>
      <c r="B93" s="20"/>
      <c r="C93" s="189"/>
      <c r="D93" s="20"/>
      <c r="E93" s="189"/>
      <c r="H93" s="20"/>
      <c r="I93" s="189"/>
      <c r="L93" s="21"/>
      <c r="N93" s="20"/>
      <c r="O93" s="244"/>
    </row>
    <row r="94" spans="1:17">
      <c r="A94" s="243"/>
      <c r="B94" s="20"/>
      <c r="C94" s="189"/>
      <c r="E94" s="189"/>
      <c r="H94" s="20"/>
      <c r="I94" s="189"/>
      <c r="L94" s="21"/>
      <c r="N94" s="20"/>
      <c r="O94" s="244"/>
    </row>
    <row r="95" spans="1:17" s="46" customFormat="1">
      <c r="B95" s="52"/>
      <c r="C95" s="244"/>
      <c r="D95" s="52"/>
      <c r="E95" s="244"/>
      <c r="F95" s="52"/>
      <c r="G95" s="244"/>
      <c r="H95" s="52"/>
      <c r="I95" s="244"/>
      <c r="J95" s="52"/>
      <c r="K95" s="244"/>
      <c r="L95" s="52"/>
      <c r="M95" s="244"/>
      <c r="N95" s="52"/>
      <c r="O95" s="244"/>
      <c r="P95" s="245"/>
    </row>
    <row r="96" spans="1:17">
      <c r="A96" s="46"/>
      <c r="L96" s="21"/>
      <c r="N96" s="20"/>
    </row>
    <row r="97" spans="1:16">
      <c r="A97" s="243"/>
      <c r="B97" s="20"/>
      <c r="C97" s="189"/>
      <c r="D97" s="20"/>
      <c r="E97" s="189"/>
      <c r="F97" s="20"/>
      <c r="G97" s="244"/>
      <c r="H97" s="20"/>
      <c r="I97" s="189"/>
      <c r="J97" s="20"/>
      <c r="K97" s="189"/>
      <c r="L97" s="21"/>
      <c r="N97" s="20"/>
      <c r="O97" s="244"/>
    </row>
    <row r="98" spans="1:16" s="46" customFormat="1">
      <c r="B98" s="52"/>
      <c r="C98" s="244"/>
      <c r="D98" s="52"/>
      <c r="E98" s="244"/>
      <c r="F98" s="52"/>
      <c r="G98" s="244"/>
      <c r="H98" s="52"/>
      <c r="I98" s="244"/>
      <c r="J98" s="52"/>
      <c r="K98" s="244"/>
      <c r="L98" s="52"/>
      <c r="M98" s="244"/>
      <c r="N98" s="52"/>
      <c r="O98" s="244"/>
      <c r="P98" s="245"/>
    </row>
    <row r="99" spans="1:16" s="46" customFormat="1" ht="19.95" customHeight="1">
      <c r="B99" s="52"/>
      <c r="C99" s="189"/>
      <c r="D99" s="52"/>
      <c r="E99" s="189"/>
      <c r="F99" s="52"/>
      <c r="G99" s="189"/>
      <c r="H99" s="52"/>
      <c r="I99" s="189"/>
      <c r="J99" s="52"/>
      <c r="K99" s="189"/>
      <c r="L99" s="52"/>
      <c r="M99" s="189"/>
      <c r="N99" s="52"/>
      <c r="O99" s="189"/>
      <c r="P99" s="245"/>
    </row>
    <row r="100" spans="1:16" s="46" customFormat="1" ht="25.2" customHeight="1">
      <c r="B100" s="52"/>
      <c r="C100" s="189"/>
      <c r="D100" s="52"/>
      <c r="E100" s="189"/>
      <c r="F100" s="52"/>
      <c r="G100" s="189"/>
      <c r="H100" s="52"/>
      <c r="I100" s="189"/>
      <c r="J100" s="52"/>
      <c r="K100" s="189"/>
      <c r="L100" s="52"/>
      <c r="M100" s="189"/>
      <c r="N100" s="52"/>
      <c r="O100" s="189"/>
      <c r="P100" s="245"/>
    </row>
    <row r="101" spans="1:16">
      <c r="L101" s="21"/>
      <c r="N101" s="788"/>
      <c r="O101" s="789"/>
    </row>
    <row r="110" spans="1:16">
      <c r="F110" t="s">
        <v>562</v>
      </c>
    </row>
  </sheetData>
  <mergeCells count="19">
    <mergeCell ref="P1:Q1"/>
    <mergeCell ref="N2:O2"/>
    <mergeCell ref="H2:I2"/>
    <mergeCell ref="P2:P3"/>
    <mergeCell ref="L2:M2"/>
    <mergeCell ref="P84:P85"/>
    <mergeCell ref="B84:C84"/>
    <mergeCell ref="D84:E84"/>
    <mergeCell ref="F84:G84"/>
    <mergeCell ref="H84:I84"/>
    <mergeCell ref="J84:K84"/>
    <mergeCell ref="L84:M84"/>
    <mergeCell ref="N84:O84"/>
    <mergeCell ref="B2:C2"/>
    <mergeCell ref="J2:K2"/>
    <mergeCell ref="D2:E2"/>
    <mergeCell ref="N82:O82"/>
    <mergeCell ref="N101:O101"/>
    <mergeCell ref="F2:G2"/>
  </mergeCells>
  <phoneticPr fontId="2"/>
  <pageMargins left="0.78740157480314965" right="0.31496062992125984" top="0.78740157480314965" bottom="0.39370078740157483" header="0.51181102362204722" footer="0.51181102362204722"/>
  <pageSetup paperSize="12" scale="88" orientation="landscape" horizontalDpi="300" verticalDpi="300" r:id="rId1"/>
  <headerFooter alignWithMargins="0"/>
  <rowBreaks count="1" manualBreakCount="1">
    <brk id="82" max="16383" man="1"/>
  </rowBreaks>
  <ignoredErrors>
    <ignoredError sqref="N32 O7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5">
    <tabColor rgb="FFB6D2F5"/>
  </sheetPr>
  <dimension ref="A2:P42"/>
  <sheetViews>
    <sheetView showZeros="0" tabSelected="1" zoomScaleNormal="100" zoomScaleSheetLayoutView="75" workbookViewId="0"/>
  </sheetViews>
  <sheetFormatPr defaultRowHeight="13.2"/>
  <cols>
    <col min="2" max="2" width="9.109375" customWidth="1"/>
    <col min="3" max="3" width="5.33203125" customWidth="1"/>
    <col min="4" max="4" width="9.109375" customWidth="1"/>
    <col min="5" max="5" width="11.6640625" customWidth="1"/>
    <col min="6" max="6" width="10.77734375" customWidth="1"/>
    <col min="7" max="7" width="9.109375" customWidth="1"/>
    <col min="8" max="8" width="5.33203125" customWidth="1"/>
    <col min="9" max="9" width="9.109375" bestFit="1" customWidth="1"/>
    <col min="10" max="10" width="11.6640625" customWidth="1"/>
    <col min="11" max="11" width="9.21875" customWidth="1"/>
    <col min="12" max="12" width="10.77734375" customWidth="1"/>
    <col min="13" max="13" width="5.33203125" customWidth="1"/>
    <col min="14" max="14" width="9.109375" customWidth="1"/>
    <col min="15" max="15" width="12.6640625" customWidth="1"/>
  </cols>
  <sheetData>
    <row r="2" spans="1:16" ht="28.2">
      <c r="B2" s="76" t="s">
        <v>1017</v>
      </c>
      <c r="C2" s="77"/>
      <c r="D2" s="77"/>
      <c r="E2" s="77"/>
    </row>
    <row r="4" spans="1:16" ht="30" customHeight="1">
      <c r="G4" s="341"/>
      <c r="H4" s="342" t="s">
        <v>1088</v>
      </c>
      <c r="J4" s="80"/>
    </row>
    <row r="5" spans="1:16" ht="14.25" customHeight="1">
      <c r="A5" s="78"/>
      <c r="J5" s="79"/>
      <c r="L5" s="115" t="s">
        <v>1504</v>
      </c>
      <c r="M5" s="91"/>
    </row>
    <row r="6" spans="1:16" ht="13.5" customHeight="1">
      <c r="E6" s="81"/>
      <c r="F6" s="81"/>
      <c r="G6" s="81"/>
      <c r="L6" s="115" t="s">
        <v>1503</v>
      </c>
    </row>
    <row r="7" spans="1:16" ht="13.5" customHeight="1" thickBot="1">
      <c r="C7" s="82"/>
      <c r="H7" s="115"/>
      <c r="L7" s="115" t="s">
        <v>1505</v>
      </c>
    </row>
    <row r="8" spans="1:16">
      <c r="A8" s="83" t="s">
        <v>898</v>
      </c>
      <c r="B8" s="84"/>
      <c r="C8" s="84"/>
      <c r="D8" s="85"/>
      <c r="E8" s="83" t="s">
        <v>233</v>
      </c>
      <c r="F8" s="84"/>
      <c r="G8" s="799" t="s">
        <v>235</v>
      </c>
      <c r="H8" s="800"/>
      <c r="I8" s="83" t="s">
        <v>236</v>
      </c>
      <c r="J8" s="84"/>
      <c r="K8" s="83" t="s">
        <v>605</v>
      </c>
      <c r="L8" s="84"/>
      <c r="M8" s="85"/>
      <c r="N8" s="84" t="s">
        <v>677</v>
      </c>
      <c r="O8" s="85"/>
    </row>
    <row r="9" spans="1:16" ht="15" thickBot="1">
      <c r="A9" s="811"/>
      <c r="B9" s="814"/>
      <c r="C9" s="814"/>
      <c r="D9" s="815"/>
      <c r="E9" s="803"/>
      <c r="F9" s="804"/>
      <c r="G9" s="801"/>
      <c r="H9" s="802"/>
      <c r="I9" s="816">
        <f>O35</f>
        <v>0</v>
      </c>
      <c r="J9" s="817"/>
      <c r="K9" s="811"/>
      <c r="L9" s="812"/>
      <c r="M9" s="813"/>
      <c r="N9" s="809"/>
      <c r="O9" s="810"/>
    </row>
    <row r="10" spans="1:16">
      <c r="A10" s="335"/>
      <c r="B10" s="33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6" ht="13.8" thickBot="1">
      <c r="A11" s="334" t="s">
        <v>234</v>
      </c>
      <c r="B11" s="315" t="s">
        <v>237</v>
      </c>
      <c r="C11" s="315"/>
      <c r="D11" s="316" t="s">
        <v>238</v>
      </c>
      <c r="E11" s="314" t="s">
        <v>236</v>
      </c>
      <c r="F11" s="317" t="s">
        <v>234</v>
      </c>
      <c r="G11" s="315" t="s">
        <v>237</v>
      </c>
      <c r="H11" s="315"/>
      <c r="I11" s="316" t="s">
        <v>238</v>
      </c>
      <c r="J11" s="314" t="s">
        <v>236</v>
      </c>
      <c r="K11" s="317" t="s">
        <v>234</v>
      </c>
      <c r="L11" s="315" t="s">
        <v>237</v>
      </c>
      <c r="M11" s="315"/>
      <c r="N11" s="316" t="s">
        <v>238</v>
      </c>
      <c r="O11" s="318" t="s">
        <v>236</v>
      </c>
      <c r="P11" s="322"/>
    </row>
    <row r="12" spans="1:16" ht="14.4">
      <c r="A12" s="361" t="s">
        <v>886</v>
      </c>
      <c r="B12" s="422" t="s">
        <v>330</v>
      </c>
      <c r="C12" s="362"/>
      <c r="D12" s="363">
        <f>大阪市中央区部数+'日経(1)'!D19</f>
        <v>27850</v>
      </c>
      <c r="E12" s="411">
        <f>大阪市中央区折込部数+'日経(1)'!F19</f>
        <v>0</v>
      </c>
      <c r="F12" s="284"/>
      <c r="G12" s="424" t="s">
        <v>351</v>
      </c>
      <c r="H12" s="369"/>
      <c r="I12" s="366">
        <f>大阪市平野区部数+'日経(2)'!P35</f>
        <v>36600</v>
      </c>
      <c r="J12" s="413">
        <f>大阪市平野区折込部数+'日経(2)'!R35</f>
        <v>0</v>
      </c>
      <c r="K12" s="475"/>
      <c r="L12" s="476" t="s">
        <v>379</v>
      </c>
      <c r="M12" s="477"/>
      <c r="N12" s="363">
        <f>富田林市部数+'日経(4) '!AB21</f>
        <v>26550</v>
      </c>
      <c r="O12" s="478">
        <f>富田林市折込部数+'日経(4) '!AD21</f>
        <v>0</v>
      </c>
    </row>
    <row r="13" spans="1:16" ht="14.4">
      <c r="A13" s="235"/>
      <c r="B13" s="423" t="s">
        <v>331</v>
      </c>
      <c r="C13" s="364"/>
      <c r="D13" s="365">
        <f>大阪市西区部数+'日経(1)'!D25</f>
        <v>14300</v>
      </c>
      <c r="E13" s="412">
        <f>大阪市西区折込部数+'日経(1)'!F25</f>
        <v>0</v>
      </c>
      <c r="F13" s="378" t="s">
        <v>887</v>
      </c>
      <c r="G13" s="427" t="s">
        <v>318</v>
      </c>
      <c r="H13" s="372"/>
      <c r="I13" s="373">
        <f>大阪市豊中市部数+'日経(2)'!V43</f>
        <v>72750</v>
      </c>
      <c r="J13" s="416">
        <f>大阪市豊中市折込部数+'日経(2)'!X43</f>
        <v>0</v>
      </c>
      <c r="K13" s="285"/>
      <c r="L13" s="435" t="s">
        <v>52</v>
      </c>
      <c r="M13" s="368"/>
      <c r="N13" s="365">
        <f>河内長野部数+'日経(4) '!AB27</f>
        <v>20900</v>
      </c>
      <c r="O13" s="479">
        <f>河内長野市折込部数+'日経(4) '!AD27</f>
        <v>0</v>
      </c>
    </row>
    <row r="14" spans="1:16" ht="14.4">
      <c r="A14" s="235"/>
      <c r="B14" s="423" t="s">
        <v>394</v>
      </c>
      <c r="C14" s="364"/>
      <c r="D14" s="365">
        <f>大阪市西淀川区部数+'日経(1)'!D32</f>
        <v>14250</v>
      </c>
      <c r="E14" s="412">
        <f>大阪市西淀川区折込部数+'日経(1)'!F32</f>
        <v>0</v>
      </c>
      <c r="F14" s="285"/>
      <c r="G14" s="428" t="s">
        <v>355</v>
      </c>
      <c r="H14" s="368"/>
      <c r="I14" s="365">
        <f>豊能郡部数+'日経(2)'!AB20</f>
        <v>6700</v>
      </c>
      <c r="J14" s="412">
        <f>豊能郡折込部数+'日経(2)'!AD20</f>
        <v>0</v>
      </c>
      <c r="K14" s="285"/>
      <c r="L14" s="431" t="s">
        <v>888</v>
      </c>
      <c r="M14" s="368"/>
      <c r="N14" s="365">
        <f>南河内郡部数+'日経(4) '!AB40</f>
        <v>1400</v>
      </c>
      <c r="O14" s="479">
        <f>南河内郡折込部数+'日経(4) '!AD40</f>
        <v>0</v>
      </c>
      <c r="P14" t="s">
        <v>562</v>
      </c>
    </row>
    <row r="15" spans="1:16" ht="14.4">
      <c r="A15" s="235"/>
      <c r="B15" s="423" t="s">
        <v>332</v>
      </c>
      <c r="C15" s="364"/>
      <c r="D15" s="365">
        <f>大阪市淀川区部数+'日経(1)'!D42</f>
        <v>22000</v>
      </c>
      <c r="E15" s="412">
        <f>大阪市淀川区折込部数+'日経(1)'!F42</f>
        <v>0</v>
      </c>
      <c r="F15" s="285"/>
      <c r="G15" s="429" t="s">
        <v>357</v>
      </c>
      <c r="H15" s="368"/>
      <c r="I15" s="365">
        <f>池田市部数+'日経(2)'!AB25</f>
        <v>18000</v>
      </c>
      <c r="J15" s="412">
        <f>池田市折込部数+'日経(2)'!AD25</f>
        <v>0</v>
      </c>
      <c r="K15" s="286"/>
      <c r="L15" s="434" t="s">
        <v>889</v>
      </c>
      <c r="M15" s="369"/>
      <c r="N15" s="366">
        <f>大阪狭山市部数+'日経(5) '!D18</f>
        <v>9050</v>
      </c>
      <c r="O15" s="480">
        <f>大阪狭山市折込部数+'日経(5) '!F18</f>
        <v>0</v>
      </c>
    </row>
    <row r="16" spans="1:16" ht="14.4">
      <c r="A16" s="235"/>
      <c r="B16" s="423" t="s">
        <v>334</v>
      </c>
      <c r="C16" s="364"/>
      <c r="D16" s="365">
        <f>大阪市東淀川区部数+'日経(1)'!J34</f>
        <v>23200</v>
      </c>
      <c r="E16" s="412">
        <f>大阪市東淀川区折込部数+'日経(1)'!L34</f>
        <v>0</v>
      </c>
      <c r="F16" s="285"/>
      <c r="G16" s="428" t="s">
        <v>320</v>
      </c>
      <c r="H16" s="368"/>
      <c r="I16" s="365">
        <f>箕面市部数+'日経(2)'!AB39</f>
        <v>28250</v>
      </c>
      <c r="J16" s="412">
        <f>箕面市折込部数+'日経(2)'!AD39</f>
        <v>0</v>
      </c>
      <c r="K16" s="378" t="s">
        <v>890</v>
      </c>
      <c r="L16" s="436" t="s">
        <v>62</v>
      </c>
      <c r="M16" s="372"/>
      <c r="N16" s="373">
        <f>堺市部数+'日経(5) '!D33</f>
        <v>25350</v>
      </c>
      <c r="O16" s="481">
        <f>堺区折込部数+'日経(5) '!F33</f>
        <v>0</v>
      </c>
    </row>
    <row r="17" spans="1:15" ht="14.4">
      <c r="A17" s="235"/>
      <c r="B17" s="423" t="s">
        <v>335</v>
      </c>
      <c r="C17" s="364"/>
      <c r="D17" s="365">
        <f>大阪市北区部数+'日経(1)'!J42</f>
        <v>26200</v>
      </c>
      <c r="E17" s="412">
        <f>大阪市北区折込部数+'日経(1)'!L42</f>
        <v>0</v>
      </c>
      <c r="F17" s="285"/>
      <c r="G17" s="430" t="s">
        <v>574</v>
      </c>
      <c r="H17" s="368"/>
      <c r="I17" s="366">
        <f>吹田市部数+'日経(3)'!D33</f>
        <v>65400</v>
      </c>
      <c r="J17" s="413">
        <f>吹田市折込部数+'日経(3)'!F33</f>
        <v>0</v>
      </c>
      <c r="K17" s="360"/>
      <c r="L17" s="431" t="s">
        <v>386</v>
      </c>
      <c r="M17" s="368"/>
      <c r="N17" s="365">
        <f>中区部数+'日経(5) '!D41</f>
        <v>22800</v>
      </c>
      <c r="O17" s="479">
        <f>中区折込部数+'日経(5) '!F41</f>
        <v>0</v>
      </c>
    </row>
    <row r="18" spans="1:15" ht="14.4">
      <c r="A18" s="235"/>
      <c r="B18" s="423" t="s">
        <v>395</v>
      </c>
      <c r="C18" s="364"/>
      <c r="D18" s="365">
        <f>大阪市福島区部数+'日経(1)'!Q19</f>
        <v>13900</v>
      </c>
      <c r="E18" s="412">
        <f>大阪市福島区折込部数+'日経(1)'!S19</f>
        <v>0</v>
      </c>
      <c r="F18" s="285"/>
      <c r="G18" s="431" t="s">
        <v>360</v>
      </c>
      <c r="H18" s="368"/>
      <c r="I18" s="366">
        <f>茨木市部数+'日経(3)'!J20</f>
        <v>44450</v>
      </c>
      <c r="J18" s="413">
        <f>茨木市折込部数+'日経(3)'!L20</f>
        <v>0</v>
      </c>
      <c r="K18" s="287"/>
      <c r="L18" s="431" t="s">
        <v>387</v>
      </c>
      <c r="M18" s="368"/>
      <c r="N18" s="365">
        <f>東区部数+'日経(5) '!J23</f>
        <v>18650</v>
      </c>
      <c r="O18" s="479">
        <f>東区折込部数+'日経(5) '!L23</f>
        <v>0</v>
      </c>
    </row>
    <row r="19" spans="1:15" ht="14.4">
      <c r="A19" s="235"/>
      <c r="B19" s="423" t="s">
        <v>396</v>
      </c>
      <c r="C19" s="364"/>
      <c r="D19" s="365">
        <f>大阪市都島区部数+'日経(1)'!Q27</f>
        <v>18850</v>
      </c>
      <c r="E19" s="412">
        <f>大阪市都島区折込部数+'日経(1)'!S27</f>
        <v>0</v>
      </c>
      <c r="F19" s="285"/>
      <c r="G19" s="428" t="s">
        <v>122</v>
      </c>
      <c r="H19" s="368"/>
      <c r="I19" s="367">
        <f>高槻市部数+'日経(3)'!J41</f>
        <v>71350</v>
      </c>
      <c r="J19" s="414">
        <f>高槻市折込部数+'日経(3)'!L41</f>
        <v>0</v>
      </c>
      <c r="K19" s="287"/>
      <c r="L19" s="431" t="s">
        <v>331</v>
      </c>
      <c r="M19" s="368"/>
      <c r="N19" s="365">
        <f>西区部数+'日経(5) '!J36</f>
        <v>21000</v>
      </c>
      <c r="O19" s="479">
        <f>西区折込部数+'日経(5) '!L36</f>
        <v>0</v>
      </c>
    </row>
    <row r="20" spans="1:15" ht="14.4">
      <c r="A20" s="235"/>
      <c r="B20" s="423" t="s">
        <v>397</v>
      </c>
      <c r="C20" s="364"/>
      <c r="D20" s="365">
        <f>大阪市旭区部数+'日経(1)'!Q34</f>
        <v>14950</v>
      </c>
      <c r="E20" s="412">
        <f>大阪市旭区折込部数+'日経(1)'!S34</f>
        <v>0</v>
      </c>
      <c r="F20" s="285"/>
      <c r="G20" s="428" t="s">
        <v>404</v>
      </c>
      <c r="H20" s="368"/>
      <c r="I20" s="365">
        <f>三島郡部数+'日経(3)'!P16</f>
        <v>4550</v>
      </c>
      <c r="J20" s="412">
        <f>三島郡折込部数+'日経(3)'!R16</f>
        <v>0</v>
      </c>
      <c r="K20" s="287"/>
      <c r="L20" s="431" t="s">
        <v>72</v>
      </c>
      <c r="M20" s="368"/>
      <c r="N20" s="365">
        <f>南区部数+'日経(5) '!P19</f>
        <v>27100</v>
      </c>
      <c r="O20" s="479">
        <f>南区折込部数+'日経(5) '!R19</f>
        <v>0</v>
      </c>
    </row>
    <row r="21" spans="1:15" ht="14.4">
      <c r="A21" s="235"/>
      <c r="B21" s="423" t="s">
        <v>398</v>
      </c>
      <c r="C21" s="364"/>
      <c r="D21" s="365">
        <f>大阪市此花区部数+'日経(1)'!Q42</f>
        <v>9500</v>
      </c>
      <c r="E21" s="412">
        <f>大阪市此花区折込部数+'日経(1)'!S42</f>
        <v>0</v>
      </c>
      <c r="F21" s="288"/>
      <c r="G21" s="432" t="s">
        <v>363</v>
      </c>
      <c r="H21" s="370"/>
      <c r="I21" s="371">
        <f>摂津市部数+'日経(3)'!P27</f>
        <v>17550</v>
      </c>
      <c r="J21" s="417">
        <f>摂津市折込部数+'日経(3)'!R27</f>
        <v>0</v>
      </c>
      <c r="K21" s="284"/>
      <c r="L21" s="434" t="s">
        <v>335</v>
      </c>
      <c r="M21" s="369"/>
      <c r="N21" s="376">
        <f>北区部数+'日経(5) '!P34</f>
        <v>35100</v>
      </c>
      <c r="O21" s="482">
        <f>北区折込部数+'日経(5) '!R34</f>
        <v>0</v>
      </c>
    </row>
    <row r="22" spans="1:15" ht="14.4">
      <c r="A22" s="235"/>
      <c r="B22" s="423" t="s">
        <v>337</v>
      </c>
      <c r="C22" s="364"/>
      <c r="D22" s="365">
        <f>大阪市港区部数+'日経(1)'!W20</f>
        <v>10300</v>
      </c>
      <c r="E22" s="412">
        <f>大阪市港区折込部数+'日経(1)'!Y20</f>
        <v>0</v>
      </c>
      <c r="F22" s="377" t="s">
        <v>891</v>
      </c>
      <c r="G22" s="433" t="s">
        <v>365</v>
      </c>
      <c r="H22" s="374"/>
      <c r="I22" s="375">
        <f>枚方市部数+'日経(3)'!V21</f>
        <v>79300</v>
      </c>
      <c r="J22" s="418">
        <f>枚方市折込部数+'日経(3)'!X21</f>
        <v>0</v>
      </c>
      <c r="K22" s="284"/>
      <c r="L22" s="434" t="s">
        <v>77</v>
      </c>
      <c r="M22" s="369"/>
      <c r="N22" s="376">
        <f>美原区部数+'日経(5) '!P39</f>
        <v>6900</v>
      </c>
      <c r="O22" s="482">
        <f>美原区折込部数+'日経(5) '!R39</f>
        <v>0</v>
      </c>
    </row>
    <row r="23" spans="1:15" ht="14.4">
      <c r="A23" s="235"/>
      <c r="B23" s="423" t="s">
        <v>339</v>
      </c>
      <c r="C23" s="364"/>
      <c r="D23" s="365">
        <f>大阪市大正区部数+'日経(1)'!W29</f>
        <v>10900</v>
      </c>
      <c r="E23" s="412">
        <f>大阪市大正区折込部数+'日経(1)'!Y29</f>
        <v>0</v>
      </c>
      <c r="F23" s="287"/>
      <c r="G23" s="431" t="s">
        <v>366</v>
      </c>
      <c r="H23" s="368"/>
      <c r="I23" s="365">
        <f>寝屋川市部数+'日経(3)'!V41</f>
        <v>41000</v>
      </c>
      <c r="J23" s="412">
        <f>寝屋川市折込部数+'日経(3)'!X41</f>
        <v>0</v>
      </c>
      <c r="K23" s="378" t="s">
        <v>737</v>
      </c>
      <c r="L23" s="436" t="s">
        <v>892</v>
      </c>
      <c r="M23" s="372"/>
      <c r="N23" s="373">
        <f>泉大津市部数+'日経(5) '!V18</f>
        <v>12200</v>
      </c>
      <c r="O23" s="481">
        <f>泉大津市折込部数+'日経(5) '!X18</f>
        <v>0</v>
      </c>
    </row>
    <row r="24" spans="1:15" ht="14.4">
      <c r="A24" s="235"/>
      <c r="B24" s="423" t="s">
        <v>340</v>
      </c>
      <c r="C24" s="364"/>
      <c r="D24" s="365">
        <f>大阪市浪速区部数+'日経(1)'!W35</f>
        <v>8300</v>
      </c>
      <c r="E24" s="412">
        <f>大阪市浪速区折込部数+'日経(1)'!Y35</f>
        <v>0</v>
      </c>
      <c r="F24" s="286"/>
      <c r="G24" s="431" t="s">
        <v>367</v>
      </c>
      <c r="H24" s="368"/>
      <c r="I24" s="365">
        <f>門真市部数+'日経(3)'!AB25</f>
        <v>18600</v>
      </c>
      <c r="J24" s="419">
        <f>門真市折込部数+'日経(3)'!AD25</f>
        <v>0</v>
      </c>
      <c r="K24" s="291"/>
      <c r="L24" s="433" t="s">
        <v>78</v>
      </c>
      <c r="M24" s="379"/>
      <c r="N24" s="380">
        <f>高石市部数+'日経(5) '!V25</f>
        <v>11150</v>
      </c>
      <c r="O24" s="483">
        <f>高石市折込部数+'日経(5) '!X25</f>
        <v>0</v>
      </c>
    </row>
    <row r="25" spans="1:15" ht="14.4">
      <c r="A25" s="235"/>
      <c r="B25" s="424" t="s">
        <v>341</v>
      </c>
      <c r="C25" s="364"/>
      <c r="D25" s="366">
        <f>大阪市阿倍野区部数+'日経(1)'!AC22</f>
        <v>21100</v>
      </c>
      <c r="E25" s="413">
        <f>大阪市阿倍野区折込部数+'日経(1)'!AE22</f>
        <v>0</v>
      </c>
      <c r="F25" s="285"/>
      <c r="G25" s="431" t="s">
        <v>321</v>
      </c>
      <c r="H25" s="368"/>
      <c r="I25" s="365">
        <f>守口市部数+'日経(4) '!D24</f>
        <v>21650</v>
      </c>
      <c r="J25" s="412">
        <f>守口市折込部数+'日経(4) '!F24</f>
        <v>0</v>
      </c>
      <c r="K25" s="287"/>
      <c r="L25" s="437" t="s">
        <v>893</v>
      </c>
      <c r="M25" s="369"/>
      <c r="N25" s="366">
        <f>泉北郡部数+'日経(5) '!V29</f>
        <v>650</v>
      </c>
      <c r="O25" s="480">
        <f>泉北郡折込部数+'日経(5) '!X29</f>
        <v>0</v>
      </c>
    </row>
    <row r="26" spans="1:15" ht="14.4">
      <c r="A26" s="289"/>
      <c r="B26" s="425" t="s">
        <v>399</v>
      </c>
      <c r="C26" s="364"/>
      <c r="D26" s="366">
        <f>大阪市西成区部数+'日経(1)'!AC34</f>
        <v>11200</v>
      </c>
      <c r="E26" s="413">
        <f>大阪市西成区折込部数+'日経(1)'!AE34</f>
        <v>0</v>
      </c>
      <c r="F26" s="290"/>
      <c r="G26" s="431" t="s">
        <v>369</v>
      </c>
      <c r="H26" s="368"/>
      <c r="I26" s="365">
        <f>交野市部数+'日経(4) '!D31</f>
        <v>12550</v>
      </c>
      <c r="J26" s="412">
        <f>交野市折込部数+'日経(4) '!F31</f>
        <v>0</v>
      </c>
      <c r="K26" s="291"/>
      <c r="L26" s="431" t="s">
        <v>804</v>
      </c>
      <c r="M26" s="369"/>
      <c r="N26" s="366">
        <f>岸和田市部数+'日経(5) '!V41</f>
        <v>36350</v>
      </c>
      <c r="O26" s="480">
        <f>岸和田市折込部数+'日経(5) '!X41</f>
        <v>0</v>
      </c>
    </row>
    <row r="27" spans="1:15" ht="14.4">
      <c r="A27" s="289"/>
      <c r="B27" s="423" t="s">
        <v>343</v>
      </c>
      <c r="C27" s="364"/>
      <c r="D27" s="367">
        <f>大阪市天王寺区部数+'日経(1)'!AC42</f>
        <v>9100</v>
      </c>
      <c r="E27" s="414">
        <f>大阪市天王寺区折込部数+'日経(1)'!AE42</f>
        <v>0</v>
      </c>
      <c r="F27" s="286"/>
      <c r="G27" s="431" t="s">
        <v>322</v>
      </c>
      <c r="H27" s="368"/>
      <c r="I27" s="365">
        <f>四条畷市部数+'日経(4) '!D41</f>
        <v>10700</v>
      </c>
      <c r="J27" s="412">
        <f>四条畷市折込部数+'日経(4) '!F41</f>
        <v>0</v>
      </c>
      <c r="K27" s="284"/>
      <c r="L27" s="438" t="s">
        <v>438</v>
      </c>
      <c r="M27" s="369"/>
      <c r="N27" s="366">
        <f>貝塚市部数+'日経(5) '!AB16</f>
        <v>13500</v>
      </c>
      <c r="O27" s="480">
        <f>貝塚市折込部数+'日経(5) '!AD16</f>
        <v>0</v>
      </c>
    </row>
    <row r="28" spans="1:15" ht="14.4">
      <c r="A28" s="289"/>
      <c r="B28" s="423" t="s">
        <v>344</v>
      </c>
      <c r="C28" s="364"/>
      <c r="D28" s="365">
        <f>大阪市生野区部数+'日経(2)'!D24</f>
        <v>22150</v>
      </c>
      <c r="E28" s="412">
        <f>大阪市生野区折込部数+'日経(2)'!F24</f>
        <v>0</v>
      </c>
      <c r="F28" s="286"/>
      <c r="G28" s="431" t="s">
        <v>405</v>
      </c>
      <c r="H28" s="368"/>
      <c r="I28" s="365">
        <f>大東市部数+'日経(4) '!J21</f>
        <v>17250</v>
      </c>
      <c r="J28" s="412">
        <f>大東市折込部数+'日経(4) '!L21</f>
        <v>0</v>
      </c>
      <c r="K28" s="284"/>
      <c r="L28" s="438" t="s">
        <v>407</v>
      </c>
      <c r="M28" s="369"/>
      <c r="N28" s="366">
        <f>泉佐野市部数+'日経(5) '!AB24</f>
        <v>17400</v>
      </c>
      <c r="O28" s="480">
        <f>泉佐野市折込部数+'日経(5) '!AD24</f>
        <v>0</v>
      </c>
    </row>
    <row r="29" spans="1:15" ht="14.4">
      <c r="A29" s="289"/>
      <c r="B29" s="423" t="s">
        <v>400</v>
      </c>
      <c r="C29" s="364"/>
      <c r="D29" s="365">
        <f>大阪市東成区部数+'日経(2)'!D31</f>
        <v>13400</v>
      </c>
      <c r="E29" s="412">
        <f>大阪市東成区折込部数+'日経(2)'!F31</f>
        <v>0</v>
      </c>
      <c r="F29" s="286"/>
      <c r="G29" s="431" t="s">
        <v>373</v>
      </c>
      <c r="H29" s="368"/>
      <c r="I29" s="365">
        <f>東大阪市部数+'日経(4) '!J41</f>
        <v>74450</v>
      </c>
      <c r="J29" s="412">
        <f>東大阪市折込部数+'日経(4) '!L41</f>
        <v>0</v>
      </c>
      <c r="K29" s="284"/>
      <c r="L29" s="434" t="s">
        <v>894</v>
      </c>
      <c r="M29" s="369"/>
      <c r="N29" s="366">
        <f>和泉市部数+'日経(6)'!D24</f>
        <v>33850</v>
      </c>
      <c r="O29" s="480">
        <f>和泉市折込部数+'日経(6)'!F24</f>
        <v>0</v>
      </c>
    </row>
    <row r="30" spans="1:15" ht="14.4">
      <c r="A30" s="289"/>
      <c r="B30" s="423" t="s">
        <v>346</v>
      </c>
      <c r="C30" s="364"/>
      <c r="D30" s="365">
        <f>大阪市城東区部数+'日経(2)'!D39</f>
        <v>30000</v>
      </c>
      <c r="E30" s="412">
        <f>大阪市城東折込部数+'日経(2)'!F39</f>
        <v>0</v>
      </c>
      <c r="F30" s="286"/>
      <c r="G30" s="431" t="s">
        <v>374</v>
      </c>
      <c r="H30" s="368"/>
      <c r="I30" s="376">
        <f>八尾市部数+'日経(4) '!P34</f>
        <v>48800</v>
      </c>
      <c r="J30" s="420">
        <f>八尾市折込部数+'日経(4) '!R34</f>
        <v>0</v>
      </c>
      <c r="K30" s="284"/>
      <c r="L30" s="434" t="s">
        <v>895</v>
      </c>
      <c r="M30" s="369"/>
      <c r="N30" s="366">
        <f>泉南市部数+'日経(6)'!D29</f>
        <v>6200</v>
      </c>
      <c r="O30" s="480">
        <f>泉南市折込部数+'日経(6)'!F29</f>
        <v>0</v>
      </c>
    </row>
    <row r="31" spans="1:15" ht="14.4">
      <c r="A31" s="289"/>
      <c r="B31" s="423" t="s">
        <v>347</v>
      </c>
      <c r="C31" s="364"/>
      <c r="D31" s="365">
        <f>大阪市鶴見区部数+'日経(2)'!J20</f>
        <v>17200</v>
      </c>
      <c r="E31" s="412">
        <f>大阪市鶴見区折込部数+'日経(2)'!L20</f>
        <v>0</v>
      </c>
      <c r="F31" s="286"/>
      <c r="G31" s="431" t="s">
        <v>502</v>
      </c>
      <c r="H31" s="368"/>
      <c r="I31" s="376">
        <f>柏原市部数+'日経(4) '!P41</f>
        <v>12250</v>
      </c>
      <c r="J31" s="420">
        <f>柏原市折込部数+'日経(4) '!R41</f>
        <v>0</v>
      </c>
      <c r="K31" s="284"/>
      <c r="L31" s="434" t="s">
        <v>896</v>
      </c>
      <c r="M31" s="369"/>
      <c r="N31" s="366">
        <f>阪南市部数+'日経(6)'!J17</f>
        <v>8550</v>
      </c>
      <c r="O31" s="480">
        <f>阪南市折込部数+'日経(6)'!L17</f>
        <v>0</v>
      </c>
    </row>
    <row r="32" spans="1:15" ht="14.4">
      <c r="A32" s="289"/>
      <c r="B32" s="423" t="s">
        <v>401</v>
      </c>
      <c r="C32" s="364"/>
      <c r="D32" s="365">
        <f>大阪市住吉区部数+'日経(2)'!J35</f>
        <v>26250</v>
      </c>
      <c r="E32" s="412">
        <f>大阪市住吉区折込部数+'日経(2)'!L35</f>
        <v>0</v>
      </c>
      <c r="F32" s="286"/>
      <c r="G32" s="431" t="s">
        <v>323</v>
      </c>
      <c r="H32" s="368"/>
      <c r="I32" s="376">
        <f>松原市部数+'日経(4) '!V22</f>
        <v>27800</v>
      </c>
      <c r="J32" s="420">
        <f>松原市折込部数+'日経(4) '!X22</f>
        <v>0</v>
      </c>
      <c r="K32" s="284"/>
      <c r="L32" s="434" t="s">
        <v>897</v>
      </c>
      <c r="M32" s="369"/>
      <c r="N32" s="376">
        <f>泉南郡部数+'日経(6)'!J24</f>
        <v>12050</v>
      </c>
      <c r="O32" s="482">
        <f>泉南郡折込部数+'日経(6)'!L24</f>
        <v>0</v>
      </c>
    </row>
    <row r="33" spans="1:15" ht="14.4">
      <c r="A33" s="289"/>
      <c r="B33" s="424" t="s">
        <v>402</v>
      </c>
      <c r="C33" s="364"/>
      <c r="D33" s="366">
        <f>大阪市東住吉区部数+'日経(2)'!J44</f>
        <v>18900</v>
      </c>
      <c r="E33" s="413">
        <f>大阪市東住吉区折込部数+'日経(2)'!L44</f>
        <v>0</v>
      </c>
      <c r="F33" s="286"/>
      <c r="G33" s="431" t="s">
        <v>377</v>
      </c>
      <c r="H33" s="368"/>
      <c r="I33" s="366">
        <f>羽曳野市部数+'日経(4) '!V34</f>
        <v>17350</v>
      </c>
      <c r="J33" s="413">
        <f>羽曳野市折込部数+'日経(4) '!X34</f>
        <v>0</v>
      </c>
      <c r="K33" s="284"/>
      <c r="L33" s="381"/>
      <c r="M33" s="381"/>
      <c r="N33" s="382"/>
      <c r="O33" s="484"/>
    </row>
    <row r="34" spans="1:15" ht="14.4">
      <c r="A34" s="236"/>
      <c r="B34" s="426" t="s">
        <v>403</v>
      </c>
      <c r="C34" s="486"/>
      <c r="D34" s="371">
        <f>大阪市住之江区部数+'日経(2)'!P22</f>
        <v>14900</v>
      </c>
      <c r="E34" s="415">
        <f>大阪市住之江区折込部数+'日経(2)'!R22</f>
        <v>0</v>
      </c>
      <c r="F34" s="292"/>
      <c r="G34" s="494" t="s">
        <v>1252</v>
      </c>
      <c r="H34" s="370"/>
      <c r="I34" s="371">
        <f>藤井寺市部数+'日経(4) '!V41</f>
        <v>16900</v>
      </c>
      <c r="J34" s="415">
        <f>藤井寺市折込部数+'日経(4) '!X41</f>
        <v>0</v>
      </c>
      <c r="K34" s="288"/>
      <c r="L34" s="383"/>
      <c r="M34" s="383"/>
      <c r="N34" s="384"/>
      <c r="O34" s="485"/>
    </row>
    <row r="35" spans="1:15" ht="15" thickBot="1">
      <c r="L35" s="807" t="s">
        <v>239</v>
      </c>
      <c r="M35" s="808"/>
      <c r="N35" s="293">
        <f>SUM(D12:D34)+SUM(I12:I34)+SUM(N12:N34)</f>
        <v>1529600</v>
      </c>
      <c r="O35" s="294">
        <f>SUM(E12:E34)+SUM(J12:J34)+SUM(O12:O34)</f>
        <v>0</v>
      </c>
    </row>
    <row r="36" spans="1:15" ht="14.4" thickTop="1" thickBot="1">
      <c r="F36" s="339"/>
      <c r="O36">
        <f>+C36+E36+G36+I36+K36+M36</f>
        <v>0</v>
      </c>
    </row>
    <row r="37" spans="1:15" ht="13.8" thickTop="1">
      <c r="A37" s="86"/>
      <c r="B37" s="805" t="s">
        <v>240</v>
      </c>
      <c r="C37" s="80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37"/>
    </row>
    <row r="38" spans="1:15" ht="14.4">
      <c r="A38" s="87"/>
      <c r="B38" s="806"/>
      <c r="C38" s="806"/>
      <c r="D38" s="296"/>
      <c r="E38" s="296"/>
      <c r="F38" s="296"/>
      <c r="G38" s="296"/>
      <c r="H38" s="296"/>
      <c r="I38" s="296"/>
      <c r="J38" s="240"/>
      <c r="K38" s="240"/>
      <c r="L38" s="296"/>
      <c r="M38" s="296"/>
      <c r="N38" s="296"/>
      <c r="O38" s="238"/>
    </row>
    <row r="39" spans="1:15">
      <c r="A39" s="87"/>
      <c r="B39" s="194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38"/>
    </row>
    <row r="40" spans="1:15">
      <c r="A40" s="87"/>
      <c r="B40" s="194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340"/>
    </row>
    <row r="41" spans="1:15" ht="13.8" thickBot="1">
      <c r="A41" s="88"/>
      <c r="B41" s="195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39"/>
    </row>
    <row r="42" spans="1:15" ht="13.8" thickTop="1">
      <c r="O42" s="492">
        <v>45717</v>
      </c>
    </row>
  </sheetData>
  <sheetProtection formatCells="0"/>
  <mergeCells count="9">
    <mergeCell ref="N9:O9"/>
    <mergeCell ref="K9:M9"/>
    <mergeCell ref="A9:D9"/>
    <mergeCell ref="I9:J9"/>
    <mergeCell ref="G8:H8"/>
    <mergeCell ref="G9:H9"/>
    <mergeCell ref="E9:F9"/>
    <mergeCell ref="B37:C38"/>
    <mergeCell ref="L35:M35"/>
  </mergeCells>
  <phoneticPr fontId="2"/>
  <hyperlinks>
    <hyperlink ref="B12" location="中央区・西区!A1" display="中央区" xr:uid="{00000000-0004-0000-0300-000000000000}"/>
    <hyperlink ref="B13" location="中央区・西区!A1" display="西区" xr:uid="{00000000-0004-0000-0300-000001000000}"/>
    <hyperlink ref="B14:B16" location="西淀川・淀川・東淀川!A1" display="西淀川区" xr:uid="{00000000-0004-0000-0300-000002000000}"/>
    <hyperlink ref="B17:B18" location="北区・福島区!A1" display="北区" xr:uid="{00000000-0004-0000-0300-000003000000}"/>
    <hyperlink ref="B19:B20" location="都島区・旭区!A1" display="都島区" xr:uid="{00000000-0004-0000-0300-000004000000}"/>
    <hyperlink ref="B21:B23" location="此花区・港区・大正区!A1" display="此花区" xr:uid="{00000000-0004-0000-0300-000005000000}"/>
    <hyperlink ref="B24:B26" location="浪速区・阿倍野区・西成区!A1" display="浪速区" xr:uid="{00000000-0004-0000-0300-000006000000}"/>
    <hyperlink ref="B27:B29" location="天王寺・生野区・東成区!A1" display="天王寺区" xr:uid="{00000000-0004-0000-0300-000007000000}"/>
    <hyperlink ref="B30:B31" location="城東区・鶴見区!A1" display="城東区" xr:uid="{00000000-0004-0000-0300-000008000000}"/>
    <hyperlink ref="B32:B33" location="住吉区・東住吉区!A1" display="住吉区" xr:uid="{00000000-0004-0000-0300-000009000000}"/>
    <hyperlink ref="B34" location="住之江区・平野区!A1" display="住之江区" xr:uid="{00000000-0004-0000-0300-00000A000000}"/>
    <hyperlink ref="G12" location="住之江区・平野区!A1" display="平野区" xr:uid="{00000000-0004-0000-0300-00000B000000}"/>
    <hyperlink ref="G13" location="豊中市!A1" display="豊中市" xr:uid="{00000000-0004-0000-0300-00000C000000}"/>
    <hyperlink ref="G14:G16" location="豊能郡・池田市・箕面市!A1" display="豊能郡" xr:uid="{00000000-0004-0000-0300-00000D000000}"/>
    <hyperlink ref="G17:G18" location="吹田市・茨木市!A1" display="吹田市" xr:uid="{00000000-0004-0000-0300-00000E000000}"/>
    <hyperlink ref="G19:G21" location="高槻市・三島郡・摂津市!A1" display="高槻市" xr:uid="{00000000-0004-0000-0300-00000F000000}"/>
    <hyperlink ref="G22" location="枚方市!A1" display="枚方市" xr:uid="{00000000-0004-0000-0300-000010000000}"/>
    <hyperlink ref="G23:G24" location="寝屋川市・門真市!A1" display="寝屋川市" xr:uid="{00000000-0004-0000-0300-000011000000}"/>
    <hyperlink ref="G25:G28" location="守口市・交野市・四条畷市・大東市!A1" display="守口市" xr:uid="{00000000-0004-0000-0300-000012000000}"/>
    <hyperlink ref="G29" location="東大阪市!A1" display="東大阪市" xr:uid="{00000000-0004-0000-0300-000013000000}"/>
    <hyperlink ref="L12:L15" location="富田林市・河内長野市・南河内郡・大阪狭山市!A1" display="富田林市" xr:uid="{00000000-0004-0000-0300-000014000000}"/>
    <hyperlink ref="L16:L17" location="堺区・中区!A1" display="堺区" xr:uid="{00000000-0004-0000-0300-000015000000}"/>
    <hyperlink ref="L18:L19" location="東区・西区!A1" display="東区" xr:uid="{00000000-0004-0000-0300-000016000000}"/>
    <hyperlink ref="L20:L22" location="南区・北区・美原区!A1" display="南区" xr:uid="{00000000-0004-0000-0300-000017000000}"/>
    <hyperlink ref="L23:L25" location="泉大津市・高石市・泉北郡!A1" display="泉大津市" xr:uid="{00000000-0004-0000-0300-000018000000}"/>
    <hyperlink ref="L26:L27" location="岸和田市・貝塚市!A1" display="岸和田市" xr:uid="{00000000-0004-0000-0300-000019000000}"/>
    <hyperlink ref="L28:L29" location="泉佐野市・和泉市!A1" display="泉佐野市" xr:uid="{00000000-0004-0000-0300-00001A000000}"/>
    <hyperlink ref="L30:L32" location="泉南市・阪南市・泉南郡!A1" display="泉南市" xr:uid="{00000000-0004-0000-0300-00001B000000}"/>
    <hyperlink ref="G30" location="八尾市・柏原市!A1" display="八尾市" xr:uid="{00000000-0004-0000-0300-00001C000000}"/>
    <hyperlink ref="G31" location="八尾市・柏原市!A1" display="柏原市" xr:uid="{00000000-0004-0000-0300-00001D000000}"/>
    <hyperlink ref="G32" location="松原市・羽曳野市・藤井寺市!A1" display="松原市" xr:uid="{00000000-0004-0000-0300-00001E000000}"/>
    <hyperlink ref="G33" location="松原市・羽曳野市・藤井寺市!A1" display="羽曳野市" xr:uid="{00000000-0004-0000-0300-00001F000000}"/>
    <hyperlink ref="G34" location="松原市・羽曳野市・藤井寺市!A1" display="藤井寺市" xr:uid="{00000000-0004-0000-0300-000020000000}"/>
  </hyperlinks>
  <printOptions horizontalCentered="1" verticalCentered="1"/>
  <pageMargins left="0.51" right="0" top="0" bottom="0" header="0" footer="0"/>
  <pageSetup paperSize="12" scale="12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B6D2F5"/>
    <pageSetUpPr fitToPage="1"/>
  </sheetPr>
  <dimension ref="A1:AE82"/>
  <sheetViews>
    <sheetView showZeros="0" topLeftCell="C2" zoomScaleNormal="100" workbookViewId="0">
      <selection activeCell="C2" sqref="C2:F3"/>
    </sheetView>
  </sheetViews>
  <sheetFormatPr defaultColWidth="9" defaultRowHeight="13.2"/>
  <cols>
    <col min="1" max="2" width="8.6640625" style="51" hidden="1" customWidth="1"/>
    <col min="3" max="3" width="13.6640625" style="22" customWidth="1"/>
    <col min="4" max="4" width="6.77734375" customWidth="1"/>
    <col min="5" max="5" width="3.33203125" customWidth="1"/>
    <col min="6" max="6" width="8.77734375" customWidth="1"/>
    <col min="7" max="7" width="8.6640625" style="51" hidden="1" customWidth="1"/>
    <col min="8" max="8" width="8.6640625" hidden="1" customWidth="1"/>
    <col min="9" max="9" width="13.77734375" customWidth="1"/>
    <col min="10" max="10" width="6.77734375" customWidth="1"/>
    <col min="11" max="11" width="3.33203125" customWidth="1"/>
    <col min="12" max="12" width="8.77734375" customWidth="1"/>
    <col min="13" max="13" width="8.6640625" style="51" hidden="1" customWidth="1"/>
    <col min="14" max="14" width="8.6640625" hidden="1" customWidth="1"/>
    <col min="15" max="15" width="13.6640625" style="18" customWidth="1"/>
    <col min="16" max="16" width="6.77734375" customWidth="1"/>
    <col min="17" max="17" width="3.33203125" customWidth="1"/>
    <col min="18" max="18" width="8.77734375" customWidth="1"/>
    <col min="19" max="19" width="8.6640625" style="51" hidden="1" customWidth="1"/>
    <col min="20" max="20" width="8.6640625" hidden="1" customWidth="1"/>
    <col min="21" max="21" width="13.6640625" style="18" customWidth="1"/>
    <col min="22" max="22" width="6.77734375" customWidth="1"/>
    <col min="23" max="23" width="3.33203125" customWidth="1"/>
    <col min="24" max="24" width="8.77734375" customWidth="1"/>
    <col min="25" max="25" width="8.6640625" style="51" hidden="1" customWidth="1"/>
    <col min="26" max="26" width="8.6640625" hidden="1" customWidth="1"/>
    <col min="27" max="27" width="13.6640625" style="18" customWidth="1"/>
    <col min="28" max="28" width="6.77734375" customWidth="1"/>
    <col min="29" max="29" width="3.33203125" customWidth="1"/>
    <col min="30" max="30" width="8.77734375" customWidth="1"/>
    <col min="31" max="32" width="8.88671875" customWidth="1"/>
  </cols>
  <sheetData>
    <row r="1" spans="1:31" hidden="1">
      <c r="A1" s="338" t="s">
        <v>1369</v>
      </c>
      <c r="B1" s="51" t="s">
        <v>1370</v>
      </c>
      <c r="F1" s="51" t="s">
        <v>1371</v>
      </c>
      <c r="G1" s="338" t="s">
        <v>1369</v>
      </c>
      <c r="H1" s="51" t="s">
        <v>1370</v>
      </c>
      <c r="L1" s="51" t="s">
        <v>1371</v>
      </c>
      <c r="M1" s="338" t="s">
        <v>1369</v>
      </c>
      <c r="N1" s="51" t="s">
        <v>1370</v>
      </c>
      <c r="R1" s="51" t="s">
        <v>1371</v>
      </c>
      <c r="S1" s="338" t="s">
        <v>1369</v>
      </c>
      <c r="T1" s="51" t="s">
        <v>1370</v>
      </c>
      <c r="X1" s="51" t="s">
        <v>1371</v>
      </c>
      <c r="Y1" s="338" t="s">
        <v>1369</v>
      </c>
      <c r="Z1" s="51" t="s">
        <v>1370</v>
      </c>
      <c r="AD1" s="51" t="s">
        <v>1371</v>
      </c>
    </row>
    <row r="2" spans="1:31" ht="13.5" customHeight="1">
      <c r="C2" s="835" t="s">
        <v>1340</v>
      </c>
      <c r="D2" s="835"/>
      <c r="E2" s="835"/>
      <c r="F2" s="835"/>
      <c r="H2" s="460"/>
      <c r="O2"/>
      <c r="U2"/>
      <c r="W2" s="500"/>
      <c r="X2" s="500" t="s">
        <v>1313</v>
      </c>
      <c r="Y2"/>
      <c r="AA2"/>
    </row>
    <row r="3" spans="1:31" ht="13.5" customHeight="1">
      <c r="C3" s="835"/>
      <c r="D3" s="835"/>
      <c r="E3" s="835"/>
      <c r="F3" s="835"/>
      <c r="H3" s="460"/>
      <c r="I3" s="114" t="s">
        <v>561</v>
      </c>
      <c r="O3"/>
      <c r="U3"/>
      <c r="W3" s="500"/>
      <c r="X3" s="500" t="s">
        <v>1501</v>
      </c>
      <c r="Y3"/>
      <c r="AA3"/>
    </row>
    <row r="4" spans="1:31" ht="13.5" customHeight="1">
      <c r="C4" t="s">
        <v>603</v>
      </c>
      <c r="I4" s="187">
        <v>45689</v>
      </c>
      <c r="J4" s="186" t="s">
        <v>0</v>
      </c>
      <c r="K4" t="s">
        <v>272</v>
      </c>
      <c r="O4"/>
      <c r="U4"/>
      <c r="W4" s="500"/>
      <c r="X4" s="500" t="s">
        <v>1500</v>
      </c>
      <c r="AA4"/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N5" s="461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N7" s="461"/>
      <c r="O7" s="7" t="s">
        <v>251</v>
      </c>
      <c r="P7" s="827">
        <f>提案表紙!G9</f>
        <v>0</v>
      </c>
      <c r="Q7" s="828"/>
      <c r="R7" s="7" t="s">
        <v>249</v>
      </c>
      <c r="T7" s="13"/>
      <c r="U7" s="440">
        <f>大阪市中央区折込部数+大阪市西区折込部数</f>
        <v>0</v>
      </c>
      <c r="V7" s="8"/>
      <c r="W7" s="821" t="s">
        <v>556</v>
      </c>
      <c r="X7" s="822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N8" s="461"/>
      <c r="O8" s="207" t="s">
        <v>597</v>
      </c>
      <c r="P8" s="829"/>
      <c r="Q8" s="830"/>
      <c r="R8" s="9" t="s">
        <v>250</v>
      </c>
      <c r="T8" s="11"/>
      <c r="U8" s="410">
        <f>提案表紙!I9</f>
        <v>0</v>
      </c>
      <c r="V8" s="10"/>
      <c r="W8" s="9"/>
      <c r="X8" s="11"/>
      <c r="Z8" s="11"/>
      <c r="AA8" s="833"/>
      <c r="AB8" s="833"/>
      <c r="AC8" s="833"/>
      <c r="AD8" s="833"/>
      <c r="AE8" s="834"/>
    </row>
    <row r="9" spans="1:31" ht="13.2" customHeight="1">
      <c r="C9" s="13"/>
      <c r="D9" s="13"/>
      <c r="E9" s="13"/>
      <c r="F9" s="13"/>
      <c r="H9" s="13"/>
      <c r="I9" s="13"/>
      <c r="J9" s="13"/>
      <c r="K9" s="13"/>
      <c r="L9" s="13"/>
      <c r="O9" s="66"/>
      <c r="U9"/>
      <c r="AA9"/>
      <c r="AE9" s="501"/>
    </row>
    <row r="10" spans="1:31" ht="16.2" customHeight="1">
      <c r="A10" s="51">
        <v>1</v>
      </c>
      <c r="B10" s="51">
        <v>2</v>
      </c>
      <c r="C10" s="818" t="s">
        <v>309</v>
      </c>
      <c r="D10" s="819"/>
      <c r="E10" s="819"/>
      <c r="F10" s="820"/>
      <c r="G10" s="51">
        <v>1</v>
      </c>
      <c r="H10" s="22">
        <v>3</v>
      </c>
      <c r="I10" s="818" t="s">
        <v>310</v>
      </c>
      <c r="J10" s="819"/>
      <c r="K10" s="819"/>
      <c r="L10" s="820"/>
      <c r="M10" s="51">
        <v>1</v>
      </c>
      <c r="N10" s="22">
        <v>5</v>
      </c>
      <c r="O10" s="818" t="s">
        <v>312</v>
      </c>
      <c r="P10" s="819"/>
      <c r="Q10" s="819"/>
      <c r="R10" s="820"/>
      <c r="S10" s="51">
        <v>1</v>
      </c>
      <c r="T10" s="22">
        <v>4</v>
      </c>
      <c r="U10" s="818" t="s">
        <v>311</v>
      </c>
      <c r="V10" s="819"/>
      <c r="W10" s="819"/>
      <c r="X10" s="820"/>
      <c r="Y10" s="51">
        <v>1</v>
      </c>
      <c r="Z10" s="22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C11" s="503" t="s">
        <v>230</v>
      </c>
      <c r="D11" s="504" t="s">
        <v>304</v>
      </c>
      <c r="E11" s="319" t="s">
        <v>305</v>
      </c>
      <c r="F11" s="505" t="s">
        <v>231</v>
      </c>
      <c r="H11" s="506"/>
      <c r="I11" s="503" t="s">
        <v>230</v>
      </c>
      <c r="J11" s="504" t="s">
        <v>304</v>
      </c>
      <c r="K11" s="319" t="s">
        <v>305</v>
      </c>
      <c r="L11" s="505" t="s">
        <v>231</v>
      </c>
      <c r="N11" s="506"/>
      <c r="O11" s="503" t="s">
        <v>230</v>
      </c>
      <c r="P11" s="504" t="s">
        <v>304</v>
      </c>
      <c r="Q11" s="319" t="s">
        <v>305</v>
      </c>
      <c r="R11" s="505" t="s">
        <v>231</v>
      </c>
      <c r="T11" s="506"/>
      <c r="U11" s="503" t="s">
        <v>230</v>
      </c>
      <c r="V11" s="504" t="s">
        <v>304</v>
      </c>
      <c r="W11" s="319" t="s">
        <v>305</v>
      </c>
      <c r="X11" s="505" t="s">
        <v>231</v>
      </c>
      <c r="Z11" s="506"/>
      <c r="AA11" s="503" t="s">
        <v>230</v>
      </c>
      <c r="AB11" s="504" t="s">
        <v>304</v>
      </c>
      <c r="AC11" s="319" t="s">
        <v>305</v>
      </c>
      <c r="AD11" s="505" t="s">
        <v>231</v>
      </c>
      <c r="AE11" s="507" t="s">
        <v>308</v>
      </c>
    </row>
    <row r="12" spans="1:31" ht="16.2" customHeight="1">
      <c r="A12" s="51">
        <v>2</v>
      </c>
      <c r="B12" s="487" t="s">
        <v>1385</v>
      </c>
      <c r="C12" s="46" t="s">
        <v>274</v>
      </c>
      <c r="D12" s="30" ph="1"/>
      <c r="E12" s="24"/>
      <c r="F12" s="506"/>
      <c r="G12" s="51">
        <v>2</v>
      </c>
      <c r="H12" s="487" t="s">
        <v>1385</v>
      </c>
      <c r="I12" s="508"/>
      <c r="J12" s="509"/>
      <c r="K12" s="23"/>
      <c r="L12" s="509"/>
      <c r="M12" s="51">
        <v>2</v>
      </c>
      <c r="N12" s="487" t="s">
        <v>1385</v>
      </c>
      <c r="O12" s="508"/>
      <c r="P12" s="509"/>
      <c r="Q12" s="23"/>
      <c r="R12" s="509"/>
      <c r="S12" s="51">
        <v>2</v>
      </c>
      <c r="T12" s="487" t="s">
        <v>1385</v>
      </c>
      <c r="U12" s="508"/>
      <c r="V12" s="509"/>
      <c r="W12" s="23"/>
      <c r="X12" s="509"/>
      <c r="Y12" s="51">
        <v>2</v>
      </c>
      <c r="Z12" s="487" t="s">
        <v>1385</v>
      </c>
      <c r="AA12" s="508"/>
      <c r="AB12" s="509"/>
      <c r="AC12" s="23"/>
      <c r="AD12" s="509"/>
      <c r="AE12" s="506"/>
    </row>
    <row r="13" spans="1:31" ht="16.2" customHeight="1">
      <c r="A13" s="51">
        <v>3</v>
      </c>
      <c r="B13" s="51">
        <v>72001</v>
      </c>
      <c r="C13" s="510" t="s">
        <v>1491</v>
      </c>
      <c r="D13" s="148">
        <v>4050</v>
      </c>
      <c r="E13" s="511"/>
      <c r="F13" s="404"/>
      <c r="G13" s="51">
        <v>3</v>
      </c>
      <c r="H13" s="51">
        <v>73001</v>
      </c>
      <c r="I13" s="386" t="s">
        <v>595</v>
      </c>
      <c r="J13" s="143">
        <v>1300</v>
      </c>
      <c r="K13" s="136"/>
      <c r="L13" s="404"/>
      <c r="M13" s="51">
        <v>3</v>
      </c>
      <c r="N13" s="51">
        <v>75001</v>
      </c>
      <c r="O13" s="441" t="s">
        <v>278</v>
      </c>
      <c r="P13" s="148">
        <v>850</v>
      </c>
      <c r="Q13" s="511"/>
      <c r="R13" s="404"/>
      <c r="S13" s="51">
        <v>3</v>
      </c>
      <c r="T13" s="51">
        <v>74001</v>
      </c>
      <c r="U13" s="386" t="s">
        <v>282</v>
      </c>
      <c r="V13" s="143">
        <v>3100</v>
      </c>
      <c r="W13" s="511"/>
      <c r="X13" s="404"/>
      <c r="Y13" s="51">
        <v>3</v>
      </c>
      <c r="Z13" s="337"/>
      <c r="AA13" s="512"/>
      <c r="AB13" s="139"/>
      <c r="AC13" s="511"/>
      <c r="AD13" s="129"/>
      <c r="AE13" s="513"/>
    </row>
    <row r="14" spans="1:31" ht="16.2" customHeight="1">
      <c r="A14" s="51">
        <v>3</v>
      </c>
      <c r="C14" s="514"/>
      <c r="D14" s="143"/>
      <c r="E14" s="515"/>
      <c r="F14" s="405"/>
      <c r="G14" s="51">
        <v>3</v>
      </c>
      <c r="H14" s="51">
        <v>73003</v>
      </c>
      <c r="I14" s="386" t="s">
        <v>277</v>
      </c>
      <c r="J14" s="143">
        <v>2850</v>
      </c>
      <c r="K14" s="137"/>
      <c r="L14" s="405"/>
      <c r="M14" s="51">
        <v>3</v>
      </c>
      <c r="N14" s="51">
        <v>75003</v>
      </c>
      <c r="O14" s="386" t="s">
        <v>279</v>
      </c>
      <c r="P14" s="143">
        <v>600</v>
      </c>
      <c r="Q14" s="515"/>
      <c r="R14" s="405"/>
      <c r="S14" s="51">
        <v>3</v>
      </c>
      <c r="T14" s="51">
        <v>74003</v>
      </c>
      <c r="U14" s="386" t="s">
        <v>1326</v>
      </c>
      <c r="V14" s="143">
        <v>2500</v>
      </c>
      <c r="W14" s="515"/>
      <c r="X14" s="405"/>
      <c r="Y14" s="51">
        <v>3</v>
      </c>
      <c r="Z14" s="337"/>
      <c r="AA14" s="512"/>
      <c r="AB14" s="139"/>
      <c r="AC14" s="139"/>
      <c r="AD14" s="132"/>
      <c r="AE14" s="516"/>
    </row>
    <row r="15" spans="1:31" ht="16.2" customHeight="1">
      <c r="A15" s="51">
        <v>3</v>
      </c>
      <c r="C15" s="514"/>
      <c r="D15" s="143"/>
      <c r="E15" s="515"/>
      <c r="F15" s="405"/>
      <c r="G15" s="51">
        <v>3</v>
      </c>
      <c r="H15" s="51">
        <v>73005</v>
      </c>
      <c r="I15" s="386" t="s">
        <v>1286</v>
      </c>
      <c r="J15" s="143">
        <v>650</v>
      </c>
      <c r="K15" s="137"/>
      <c r="L15" s="405"/>
      <c r="M15" s="51">
        <v>3</v>
      </c>
      <c r="N15" s="51">
        <v>75005</v>
      </c>
      <c r="O15" s="386" t="s">
        <v>280</v>
      </c>
      <c r="P15" s="143">
        <v>3100</v>
      </c>
      <c r="Q15" s="515"/>
      <c r="R15" s="405"/>
      <c r="S15" s="51">
        <v>3</v>
      </c>
      <c r="T15" s="51"/>
      <c r="U15" s="512"/>
      <c r="V15" s="139"/>
      <c r="W15" s="515"/>
      <c r="X15" s="132"/>
      <c r="Y15" s="51">
        <v>3</v>
      </c>
      <c r="Z15" s="246"/>
      <c r="AA15" s="512"/>
      <c r="AB15" s="139"/>
      <c r="AC15" s="515"/>
      <c r="AD15" s="132"/>
      <c r="AE15" s="516"/>
    </row>
    <row r="16" spans="1:31" ht="16.2" customHeight="1">
      <c r="A16" s="51">
        <v>3</v>
      </c>
      <c r="C16" s="517"/>
      <c r="D16" s="139"/>
      <c r="E16" s="515"/>
      <c r="F16" s="132"/>
      <c r="G16" s="51">
        <v>3</v>
      </c>
      <c r="H16" s="51">
        <v>73007</v>
      </c>
      <c r="I16" s="386" t="s">
        <v>1538</v>
      </c>
      <c r="J16" s="143">
        <v>750</v>
      </c>
      <c r="K16" s="137"/>
      <c r="L16" s="405"/>
      <c r="M16" s="51">
        <v>3</v>
      </c>
      <c r="N16" s="51">
        <v>75007</v>
      </c>
      <c r="O16" s="386" t="s">
        <v>281</v>
      </c>
      <c r="P16" s="143">
        <v>400</v>
      </c>
      <c r="Q16" s="515"/>
      <c r="R16" s="405"/>
      <c r="S16" s="51">
        <v>3</v>
      </c>
      <c r="T16" s="51"/>
      <c r="U16" s="512"/>
      <c r="V16" s="139"/>
      <c r="W16" s="515"/>
      <c r="X16" s="132"/>
      <c r="Y16" s="51">
        <v>3</v>
      </c>
      <c r="Z16" s="246"/>
      <c r="AA16" s="512"/>
      <c r="AB16" s="139"/>
      <c r="AC16" s="515"/>
      <c r="AD16" s="132"/>
      <c r="AE16" s="516"/>
    </row>
    <row r="17" spans="1:31" ht="16.2" customHeight="1">
      <c r="A17" s="51">
        <v>3</v>
      </c>
      <c r="C17" s="517"/>
      <c r="D17" s="139"/>
      <c r="E17" s="515"/>
      <c r="F17" s="132"/>
      <c r="G17" s="51">
        <v>3</v>
      </c>
      <c r="H17" s="51"/>
      <c r="I17" s="512"/>
      <c r="J17" s="139"/>
      <c r="K17" s="137"/>
      <c r="L17" s="132"/>
      <c r="M17" s="51">
        <v>3</v>
      </c>
      <c r="N17" s="51"/>
      <c r="O17" s="512"/>
      <c r="P17" s="139"/>
      <c r="Q17" s="515"/>
      <c r="R17" s="132"/>
      <c r="S17" s="51">
        <v>3</v>
      </c>
      <c r="T17" s="51"/>
      <c r="U17" s="512"/>
      <c r="V17" s="139"/>
      <c r="W17" s="515"/>
      <c r="X17" s="132"/>
      <c r="Y17" s="51">
        <v>3</v>
      </c>
      <c r="Z17" s="246"/>
      <c r="AA17" s="512"/>
      <c r="AB17" s="139"/>
      <c r="AC17" s="515"/>
      <c r="AD17" s="132"/>
      <c r="AE17" s="516"/>
    </row>
    <row r="18" spans="1:31" ht="16.2" customHeight="1">
      <c r="A18" s="51">
        <v>3</v>
      </c>
      <c r="C18" s="517"/>
      <c r="D18" s="139"/>
      <c r="E18" s="515"/>
      <c r="F18" s="132"/>
      <c r="G18" s="51">
        <v>3</v>
      </c>
      <c r="H18" s="51"/>
      <c r="I18" s="512"/>
      <c r="J18" s="139"/>
      <c r="K18" s="137"/>
      <c r="L18" s="132"/>
      <c r="M18" s="51">
        <v>3</v>
      </c>
      <c r="N18" s="51"/>
      <c r="O18" s="512"/>
      <c r="P18" s="139"/>
      <c r="Q18" s="515"/>
      <c r="R18" s="132"/>
      <c r="S18" s="51">
        <v>3</v>
      </c>
      <c r="T18" s="51"/>
      <c r="U18" s="512"/>
      <c r="V18" s="139"/>
      <c r="W18" s="515"/>
      <c r="X18" s="132"/>
      <c r="Y18" s="51">
        <v>3</v>
      </c>
      <c r="Z18" s="246"/>
      <c r="AA18" s="512"/>
      <c r="AB18" s="139"/>
      <c r="AC18" s="515"/>
      <c r="AD18" s="132"/>
      <c r="AE18" s="516"/>
    </row>
    <row r="19" spans="1:31" ht="16.2" customHeight="1">
      <c r="A19" s="51">
        <v>3</v>
      </c>
      <c r="C19" s="517"/>
      <c r="D19" s="139"/>
      <c r="E19" s="515"/>
      <c r="F19" s="132"/>
      <c r="G19" s="51">
        <v>3</v>
      </c>
      <c r="H19" s="51"/>
      <c r="I19" s="512"/>
      <c r="J19" s="139"/>
      <c r="K19" s="137"/>
      <c r="L19" s="132"/>
      <c r="M19" s="51">
        <v>3</v>
      </c>
      <c r="N19" s="51"/>
      <c r="O19" s="512"/>
      <c r="P19" s="139"/>
      <c r="Q19" s="515"/>
      <c r="R19" s="132"/>
      <c r="S19" s="51">
        <v>3</v>
      </c>
      <c r="T19" s="51"/>
      <c r="U19" s="512"/>
      <c r="V19" s="139"/>
      <c r="W19" s="515"/>
      <c r="X19" s="132"/>
      <c r="Y19" s="51">
        <v>3</v>
      </c>
      <c r="Z19" s="246"/>
      <c r="AA19" s="512"/>
      <c r="AB19" s="139"/>
      <c r="AC19" s="515"/>
      <c r="AD19" s="132"/>
      <c r="AE19" s="516"/>
    </row>
    <row r="20" spans="1:31" ht="16.2" customHeight="1">
      <c r="A20" s="51">
        <v>3</v>
      </c>
      <c r="C20" s="517"/>
      <c r="D20" s="139"/>
      <c r="E20" s="515"/>
      <c r="F20" s="132"/>
      <c r="G20" s="51">
        <v>3</v>
      </c>
      <c r="H20" s="51"/>
      <c r="I20" s="512"/>
      <c r="J20" s="139"/>
      <c r="K20" s="137"/>
      <c r="L20" s="132"/>
      <c r="M20" s="51">
        <v>3</v>
      </c>
      <c r="N20" s="51"/>
      <c r="O20" s="512"/>
      <c r="P20" s="139"/>
      <c r="Q20" s="515"/>
      <c r="R20" s="132"/>
      <c r="S20" s="51">
        <v>3</v>
      </c>
      <c r="T20" s="51"/>
      <c r="U20" s="512"/>
      <c r="V20" s="139"/>
      <c r="W20" s="515"/>
      <c r="X20" s="132"/>
      <c r="Y20" s="51">
        <v>3</v>
      </c>
      <c r="Z20" s="246"/>
      <c r="AA20" s="512"/>
      <c r="AB20" s="139"/>
      <c r="AC20" s="515"/>
      <c r="AD20" s="132"/>
      <c r="AE20" s="516"/>
    </row>
    <row r="21" spans="1:31" ht="16.2" customHeight="1">
      <c r="A21" s="51">
        <v>3</v>
      </c>
      <c r="C21" s="517"/>
      <c r="D21" s="139"/>
      <c r="E21" s="515"/>
      <c r="F21" s="132"/>
      <c r="G21" s="51">
        <v>3</v>
      </c>
      <c r="H21" s="51"/>
      <c r="I21" s="512"/>
      <c r="J21" s="139"/>
      <c r="K21" s="137"/>
      <c r="L21" s="132"/>
      <c r="M21" s="51">
        <v>3</v>
      </c>
      <c r="N21" s="51"/>
      <c r="O21" s="512"/>
      <c r="P21" s="139"/>
      <c r="Q21" s="515"/>
      <c r="R21" s="132"/>
      <c r="S21" s="51">
        <v>3</v>
      </c>
      <c r="T21" s="51"/>
      <c r="U21" s="512"/>
      <c r="V21" s="139"/>
      <c r="W21" s="515"/>
      <c r="X21" s="132"/>
      <c r="Y21" s="51">
        <v>3</v>
      </c>
      <c r="Z21" s="246"/>
      <c r="AA21" s="512"/>
      <c r="AB21" s="139"/>
      <c r="AC21" s="515"/>
      <c r="AD21" s="132"/>
      <c r="AE21" s="516"/>
    </row>
    <row r="22" spans="1:31" ht="16.2" customHeight="1">
      <c r="A22" s="51">
        <v>3</v>
      </c>
      <c r="C22" s="517"/>
      <c r="D22" s="139"/>
      <c r="E22" s="515"/>
      <c r="F22" s="132"/>
      <c r="G22" s="51">
        <v>3</v>
      </c>
      <c r="H22" s="51"/>
      <c r="I22" s="512"/>
      <c r="J22" s="139"/>
      <c r="K22" s="137"/>
      <c r="L22" s="132"/>
      <c r="M22" s="51">
        <v>3</v>
      </c>
      <c r="N22" s="51"/>
      <c r="O22" s="512"/>
      <c r="P22" s="139"/>
      <c r="Q22" s="515"/>
      <c r="R22" s="132"/>
      <c r="S22" s="51">
        <v>3</v>
      </c>
      <c r="T22" s="51"/>
      <c r="U22" s="512"/>
      <c r="V22" s="139"/>
      <c r="W22" s="515"/>
      <c r="X22" s="132"/>
      <c r="Y22" s="51">
        <v>3</v>
      </c>
      <c r="Z22" s="246"/>
      <c r="AA22" s="512"/>
      <c r="AB22" s="139"/>
      <c r="AC22" s="515"/>
      <c r="AD22" s="132"/>
      <c r="AE22" s="516"/>
    </row>
    <row r="23" spans="1:31" ht="16.2" customHeight="1" thickBot="1">
      <c r="A23" s="51">
        <v>3</v>
      </c>
      <c r="C23" s="518"/>
      <c r="D23" s="208"/>
      <c r="E23" s="519"/>
      <c r="F23" s="133"/>
      <c r="G23" s="51">
        <v>3</v>
      </c>
      <c r="H23" s="473"/>
      <c r="I23" s="520"/>
      <c r="J23" s="208"/>
      <c r="K23" s="138"/>
      <c r="L23" s="133"/>
      <c r="M23" s="51">
        <v>3</v>
      </c>
      <c r="N23" s="51"/>
      <c r="O23" s="520"/>
      <c r="P23" s="208"/>
      <c r="Q23" s="519"/>
      <c r="R23" s="133"/>
      <c r="S23" s="51">
        <v>3</v>
      </c>
      <c r="T23" s="51"/>
      <c r="U23" s="520"/>
      <c r="V23" s="344"/>
      <c r="W23" s="519"/>
      <c r="X23" s="133"/>
      <c r="Y23" s="51">
        <v>3</v>
      </c>
      <c r="Z23" s="246"/>
      <c r="AA23" s="520"/>
      <c r="AB23" s="208"/>
      <c r="AC23" s="519"/>
      <c r="AD23" s="133"/>
      <c r="AE23" s="516"/>
    </row>
    <row r="24" spans="1:31" ht="16.2" customHeight="1" thickTop="1">
      <c r="A24" s="51">
        <v>4</v>
      </c>
      <c r="C24" s="521" t="s">
        <v>273</v>
      </c>
      <c r="D24" s="27">
        <f>SUM(D13:D23)</f>
        <v>4050</v>
      </c>
      <c r="E24" s="522"/>
      <c r="F24" s="75">
        <f>SUM(F13:F23)</f>
        <v>0</v>
      </c>
      <c r="G24" s="51">
        <v>4</v>
      </c>
      <c r="H24" s="51"/>
      <c r="I24" s="523" t="s">
        <v>273</v>
      </c>
      <c r="J24" s="27">
        <f>SUM(J13:J23)</f>
        <v>5550</v>
      </c>
      <c r="K24" s="28"/>
      <c r="L24" s="75">
        <f>SUM(L13:L23)</f>
        <v>0</v>
      </c>
      <c r="M24" s="51">
        <v>4</v>
      </c>
      <c r="N24" s="51"/>
      <c r="O24" s="523" t="s">
        <v>273</v>
      </c>
      <c r="P24" s="27">
        <f>SUM(P13:P23)</f>
        <v>4950</v>
      </c>
      <c r="Q24" s="522"/>
      <c r="R24" s="75">
        <f>SUM(R13:R23)</f>
        <v>0</v>
      </c>
      <c r="S24" s="51">
        <v>4</v>
      </c>
      <c r="T24" s="51"/>
      <c r="U24" s="523" t="s">
        <v>273</v>
      </c>
      <c r="V24" s="27">
        <f>SUM(V13:V23)</f>
        <v>5600</v>
      </c>
      <c r="W24" s="522"/>
      <c r="X24" s="75">
        <f>SUM(X13:X23)</f>
        <v>0</v>
      </c>
      <c r="Y24" s="51">
        <v>4</v>
      </c>
      <c r="Z24" s="189"/>
      <c r="AA24" s="523" t="s">
        <v>273</v>
      </c>
      <c r="AB24" s="27">
        <f>SUM(AB13:AB23)</f>
        <v>0</v>
      </c>
      <c r="AC24" s="522"/>
      <c r="AD24" s="75">
        <f>SUM(AD13:AD23)</f>
        <v>0</v>
      </c>
      <c r="AE24" s="524">
        <f>D24+J24+P24+V24+AB24</f>
        <v>20150</v>
      </c>
    </row>
    <row r="25" spans="1:31" ht="16.2" customHeight="1">
      <c r="C25" s="525"/>
      <c r="D25" s="210"/>
      <c r="E25" s="526"/>
      <c r="F25" s="526"/>
      <c r="H25" s="51"/>
      <c r="I25" s="489"/>
      <c r="J25" s="526"/>
      <c r="K25" s="526"/>
      <c r="L25" s="526"/>
      <c r="N25" s="51"/>
      <c r="O25" s="526"/>
      <c r="P25" s="210"/>
      <c r="Q25" s="526"/>
      <c r="R25" s="526"/>
      <c r="T25" s="51"/>
      <c r="U25" s="13"/>
      <c r="V25" s="29"/>
      <c r="W25" s="13"/>
      <c r="X25" s="13"/>
      <c r="AA25" s="459"/>
      <c r="AB25" s="29"/>
      <c r="AC25" s="13"/>
      <c r="AD25" s="527" t="s">
        <v>242</v>
      </c>
      <c r="AE25" s="93">
        <f>A大阪市中央区折込部数+M大阪市中央区折込部数+S大阪市中央区折込部数+Y大阪市中央区折込部数+AD24</f>
        <v>0</v>
      </c>
    </row>
    <row r="26" spans="1:31" ht="16.2" customHeight="1">
      <c r="A26" s="51">
        <v>2</v>
      </c>
      <c r="B26" s="488" t="s">
        <v>1386</v>
      </c>
      <c r="C26" s="45" t="s">
        <v>283</v>
      </c>
      <c r="D26" s="12"/>
      <c r="E26" s="11"/>
      <c r="F26" s="11"/>
      <c r="G26" s="51">
        <v>2</v>
      </c>
      <c r="H26" s="488" t="s">
        <v>1386</v>
      </c>
      <c r="I26" s="528"/>
      <c r="J26" s="211"/>
      <c r="K26" s="212"/>
      <c r="L26" s="464"/>
      <c r="M26" s="51">
        <v>2</v>
      </c>
      <c r="N26" s="488" t="s">
        <v>1386</v>
      </c>
      <c r="O26" s="489"/>
      <c r="P26" s="211"/>
      <c r="Q26" s="464"/>
      <c r="R26" s="464"/>
      <c r="S26" s="51">
        <v>2</v>
      </c>
      <c r="T26" s="488" t="s">
        <v>1386</v>
      </c>
      <c r="U26" s="529"/>
      <c r="V26" s="12"/>
      <c r="W26" s="11"/>
      <c r="X26" s="11"/>
      <c r="Y26" s="51">
        <v>2</v>
      </c>
      <c r="Z26" s="488" t="s">
        <v>1386</v>
      </c>
      <c r="AA26" s="530"/>
      <c r="AB26" s="12"/>
      <c r="AC26" s="11"/>
      <c r="AD26" s="11"/>
    </row>
    <row r="27" spans="1:31" ht="16.2" customHeight="1">
      <c r="A27" s="51">
        <v>3</v>
      </c>
      <c r="B27" s="51">
        <v>72005</v>
      </c>
      <c r="C27" s="349" t="s">
        <v>284</v>
      </c>
      <c r="D27" s="148">
        <v>1150</v>
      </c>
      <c r="E27" s="136"/>
      <c r="F27" s="404"/>
      <c r="G27" s="51">
        <v>3</v>
      </c>
      <c r="H27" s="51">
        <v>73009</v>
      </c>
      <c r="I27" s="386" t="s">
        <v>1536</v>
      </c>
      <c r="J27" s="143">
        <v>1450</v>
      </c>
      <c r="K27" s="142"/>
      <c r="L27" s="404"/>
      <c r="M27" s="51">
        <v>3</v>
      </c>
      <c r="N27" s="51">
        <v>75009</v>
      </c>
      <c r="O27" s="441" t="s">
        <v>284</v>
      </c>
      <c r="P27" s="148">
        <v>600</v>
      </c>
      <c r="Q27" s="511"/>
      <c r="R27" s="404"/>
      <c r="S27" s="51">
        <v>3</v>
      </c>
      <c r="T27" s="51">
        <v>74005</v>
      </c>
      <c r="U27" s="441" t="s">
        <v>287</v>
      </c>
      <c r="V27" s="143">
        <v>2150</v>
      </c>
      <c r="W27" s="511"/>
      <c r="X27" s="404"/>
      <c r="Y27" s="51">
        <v>3</v>
      </c>
      <c r="Z27" s="337"/>
      <c r="AA27" s="512"/>
      <c r="AB27" s="139"/>
      <c r="AC27" s="137"/>
      <c r="AD27" s="132"/>
      <c r="AE27" s="513"/>
    </row>
    <row r="28" spans="1:31" ht="16.2" customHeight="1">
      <c r="A28" s="51">
        <v>3</v>
      </c>
      <c r="C28" s="514"/>
      <c r="D28" s="446"/>
      <c r="E28" s="531"/>
      <c r="F28" s="405"/>
      <c r="G28" s="51">
        <v>3</v>
      </c>
      <c r="H28" s="51">
        <v>73011</v>
      </c>
      <c r="I28" s="386" t="s">
        <v>1537</v>
      </c>
      <c r="J28" s="143">
        <v>1000</v>
      </c>
      <c r="K28" s="137"/>
      <c r="L28" s="405"/>
      <c r="M28" s="51">
        <v>3</v>
      </c>
      <c r="N28" s="51">
        <v>75011</v>
      </c>
      <c r="O28" s="386" t="s">
        <v>285</v>
      </c>
      <c r="P28" s="143">
        <v>400</v>
      </c>
      <c r="Q28" s="515"/>
      <c r="R28" s="405"/>
      <c r="S28" s="51">
        <v>3</v>
      </c>
      <c r="T28" s="51">
        <v>74007</v>
      </c>
      <c r="U28" s="386" t="s">
        <v>276</v>
      </c>
      <c r="V28" s="143">
        <v>1700</v>
      </c>
      <c r="W28" s="515"/>
      <c r="X28" s="405"/>
      <c r="Y28" s="51">
        <v>3</v>
      </c>
      <c r="Z28" s="337"/>
      <c r="AA28" s="345"/>
      <c r="AB28" s="139"/>
      <c r="AC28" s="137"/>
      <c r="AD28" s="132"/>
      <c r="AE28" s="516"/>
    </row>
    <row r="29" spans="1:31" ht="16.2" customHeight="1">
      <c r="A29" s="51">
        <v>3</v>
      </c>
      <c r="C29" s="350"/>
      <c r="D29" s="143"/>
      <c r="E29" s="137"/>
      <c r="F29" s="405"/>
      <c r="G29" s="51">
        <v>3</v>
      </c>
      <c r="H29" s="51">
        <v>73013</v>
      </c>
      <c r="I29" s="386" t="s">
        <v>284</v>
      </c>
      <c r="J29" s="143">
        <v>650</v>
      </c>
      <c r="K29" s="142"/>
      <c r="L29" s="132"/>
      <c r="M29" s="51">
        <v>3</v>
      </c>
      <c r="N29" s="51">
        <v>75013</v>
      </c>
      <c r="O29" s="386" t="s">
        <v>286</v>
      </c>
      <c r="P29" s="143">
        <v>700</v>
      </c>
      <c r="Q29" s="515"/>
      <c r="R29" s="405"/>
      <c r="S29" s="51">
        <v>3</v>
      </c>
      <c r="T29" s="51">
        <v>74010</v>
      </c>
      <c r="U29" s="386" t="s">
        <v>284</v>
      </c>
      <c r="V29" s="143">
        <v>600</v>
      </c>
      <c r="W29" s="515"/>
      <c r="X29" s="405"/>
      <c r="Y29" s="51">
        <v>3</v>
      </c>
      <c r="Z29" s="337"/>
      <c r="AA29" s="512"/>
      <c r="AB29" s="139"/>
      <c r="AC29" s="137"/>
      <c r="AD29" s="132"/>
      <c r="AE29" s="516"/>
    </row>
    <row r="30" spans="1:31" ht="16.2" customHeight="1">
      <c r="A30" s="51">
        <v>3</v>
      </c>
      <c r="C30" s="517"/>
      <c r="D30" s="139"/>
      <c r="E30" s="137"/>
      <c r="F30" s="140"/>
      <c r="G30" s="51">
        <v>3</v>
      </c>
      <c r="H30" s="51"/>
      <c r="I30" s="386"/>
      <c r="J30" s="143"/>
      <c r="K30" s="142"/>
      <c r="L30" s="132"/>
      <c r="M30" s="51">
        <v>3</v>
      </c>
      <c r="N30" s="51"/>
      <c r="O30" s="512"/>
      <c r="P30" s="139"/>
      <c r="Q30" s="515"/>
      <c r="R30" s="132"/>
      <c r="S30" s="51">
        <v>3</v>
      </c>
      <c r="T30" s="51"/>
      <c r="U30" s="386"/>
      <c r="V30" s="143"/>
      <c r="W30" s="515"/>
      <c r="X30" s="132"/>
      <c r="Y30" s="51">
        <v>3</v>
      </c>
      <c r="Z30" s="246"/>
      <c r="AA30" s="512"/>
      <c r="AB30" s="139"/>
      <c r="AC30" s="142"/>
      <c r="AD30" s="132"/>
      <c r="AE30" s="516"/>
    </row>
    <row r="31" spans="1:31" ht="16.2" customHeight="1">
      <c r="A31" s="51">
        <v>3</v>
      </c>
      <c r="C31" s="517"/>
      <c r="D31" s="139"/>
      <c r="E31" s="531"/>
      <c r="F31" s="140"/>
      <c r="G31" s="51">
        <v>3</v>
      </c>
      <c r="H31" s="51"/>
      <c r="I31" s="512"/>
      <c r="J31" s="139"/>
      <c r="K31" s="142"/>
      <c r="L31" s="132"/>
      <c r="M31" s="51">
        <v>3</v>
      </c>
      <c r="N31" s="51"/>
      <c r="O31" s="512"/>
      <c r="P31" s="139"/>
      <c r="Q31" s="515"/>
      <c r="R31" s="132"/>
      <c r="S31" s="51">
        <v>3</v>
      </c>
      <c r="T31" s="51"/>
      <c r="U31" s="512"/>
      <c r="V31" s="139"/>
      <c r="W31" s="515"/>
      <c r="X31" s="132"/>
      <c r="Y31" s="51">
        <v>3</v>
      </c>
      <c r="Z31" s="246"/>
      <c r="AA31" s="512"/>
      <c r="AB31" s="139"/>
      <c r="AC31" s="142"/>
      <c r="AD31" s="132"/>
      <c r="AE31" s="516"/>
    </row>
    <row r="32" spans="1:31" ht="16.2" customHeight="1">
      <c r="A32" s="51">
        <v>3</v>
      </c>
      <c r="C32" s="517"/>
      <c r="D32" s="515"/>
      <c r="E32" s="531"/>
      <c r="F32" s="140"/>
      <c r="G32" s="51">
        <v>3</v>
      </c>
      <c r="H32" s="51"/>
      <c r="I32" s="512"/>
      <c r="J32" s="139"/>
      <c r="K32" s="142"/>
      <c r="L32" s="132"/>
      <c r="M32" s="51">
        <v>3</v>
      </c>
      <c r="N32" s="51"/>
      <c r="O32" s="512"/>
      <c r="P32" s="139"/>
      <c r="Q32" s="515"/>
      <c r="R32" s="132"/>
      <c r="S32" s="51">
        <v>3</v>
      </c>
      <c r="T32" s="51"/>
      <c r="U32" s="512"/>
      <c r="V32" s="139"/>
      <c r="W32" s="515"/>
      <c r="X32" s="132"/>
      <c r="Y32" s="51">
        <v>3</v>
      </c>
      <c r="Z32" s="246"/>
      <c r="AA32" s="533"/>
      <c r="AB32" s="139"/>
      <c r="AC32" s="137"/>
      <c r="AD32" s="132"/>
      <c r="AE32" s="516"/>
    </row>
    <row r="33" spans="1:31" ht="16.2" customHeight="1">
      <c r="A33" s="51">
        <v>3</v>
      </c>
      <c r="C33" s="517"/>
      <c r="D33" s="515"/>
      <c r="E33" s="531"/>
      <c r="F33" s="140"/>
      <c r="G33" s="51">
        <v>3</v>
      </c>
      <c r="H33" s="51"/>
      <c r="I33" s="512"/>
      <c r="J33" s="515"/>
      <c r="K33" s="137"/>
      <c r="L33" s="132"/>
      <c r="M33" s="51">
        <v>3</v>
      </c>
      <c r="N33" s="51"/>
      <c r="O33" s="512"/>
      <c r="P33" s="139"/>
      <c r="Q33" s="515"/>
      <c r="R33" s="132"/>
      <c r="S33" s="51">
        <v>3</v>
      </c>
      <c r="T33" s="51"/>
      <c r="U33" s="512"/>
      <c r="V33" s="139"/>
      <c r="W33" s="515"/>
      <c r="X33" s="132"/>
      <c r="Y33" s="51">
        <v>3</v>
      </c>
      <c r="Z33" s="246"/>
      <c r="AA33" s="512"/>
      <c r="AB33" s="139"/>
      <c r="AC33" s="137"/>
      <c r="AD33" s="132"/>
      <c r="AE33" s="516"/>
    </row>
    <row r="34" spans="1:31" ht="16.2" customHeight="1">
      <c r="A34" s="51">
        <v>3</v>
      </c>
      <c r="C34" s="517"/>
      <c r="D34" s="515"/>
      <c r="E34" s="531"/>
      <c r="F34" s="140"/>
      <c r="G34" s="51">
        <v>3</v>
      </c>
      <c r="H34" s="51"/>
      <c r="I34" s="512"/>
      <c r="J34" s="515"/>
      <c r="K34" s="137"/>
      <c r="L34" s="132"/>
      <c r="M34" s="51">
        <v>3</v>
      </c>
      <c r="N34" s="51"/>
      <c r="O34" s="512"/>
      <c r="P34" s="139"/>
      <c r="Q34" s="515"/>
      <c r="R34" s="132"/>
      <c r="S34" s="51">
        <v>3</v>
      </c>
      <c r="T34" s="51"/>
      <c r="U34" s="512"/>
      <c r="V34" s="139"/>
      <c r="W34" s="515"/>
      <c r="X34" s="132"/>
      <c r="Y34" s="51">
        <v>3</v>
      </c>
      <c r="Z34" s="246"/>
      <c r="AA34" s="512"/>
      <c r="AB34" s="139"/>
      <c r="AC34" s="137"/>
      <c r="AD34" s="132"/>
      <c r="AE34" s="516"/>
    </row>
    <row r="35" spans="1:31" ht="16.2" customHeight="1" thickBot="1">
      <c r="A35" s="51">
        <v>3</v>
      </c>
      <c r="C35" s="518"/>
      <c r="D35" s="519"/>
      <c r="E35" s="534"/>
      <c r="F35" s="141"/>
      <c r="G35" s="51">
        <v>3</v>
      </c>
      <c r="H35" s="51"/>
      <c r="I35" s="520"/>
      <c r="J35" s="519"/>
      <c r="K35" s="138"/>
      <c r="L35" s="133"/>
      <c r="M35" s="51">
        <v>3</v>
      </c>
      <c r="N35" s="51"/>
      <c r="O35" s="520"/>
      <c r="P35" s="208"/>
      <c r="Q35" s="519"/>
      <c r="R35" s="133"/>
      <c r="S35" s="51">
        <v>3</v>
      </c>
      <c r="T35" s="51"/>
      <c r="U35" s="520"/>
      <c r="V35" s="208"/>
      <c r="W35" s="519"/>
      <c r="X35" s="133"/>
      <c r="Y35" s="51">
        <v>3</v>
      </c>
      <c r="Z35" s="246"/>
      <c r="AA35" s="520"/>
      <c r="AB35" s="208"/>
      <c r="AC35" s="138"/>
      <c r="AD35" s="133"/>
      <c r="AE35" s="516"/>
    </row>
    <row r="36" spans="1:31" ht="16.2" customHeight="1" thickTop="1">
      <c r="A36" s="51">
        <v>4</v>
      </c>
      <c r="C36" s="521" t="s">
        <v>271</v>
      </c>
      <c r="D36" s="535">
        <f xml:space="preserve"> SUM(D27:D35)</f>
        <v>1150</v>
      </c>
      <c r="E36" s="536"/>
      <c r="F36" s="75">
        <f>SUM(F27:F35)</f>
        <v>0</v>
      </c>
      <c r="G36" s="51">
        <v>4</v>
      </c>
      <c r="H36" s="51"/>
      <c r="I36" s="523" t="s">
        <v>271</v>
      </c>
      <c r="J36" s="535">
        <f xml:space="preserve"> SUM(J27:J35)</f>
        <v>3100</v>
      </c>
      <c r="K36" s="28"/>
      <c r="L36" s="75">
        <f>SUM(L27:L35)</f>
        <v>0</v>
      </c>
      <c r="M36" s="51">
        <v>4</v>
      </c>
      <c r="N36" s="51"/>
      <c r="O36" s="523" t="s">
        <v>271</v>
      </c>
      <c r="P36" s="27">
        <f>SUM(P27:P35)</f>
        <v>1700</v>
      </c>
      <c r="Q36" s="522"/>
      <c r="R36" s="75">
        <f>SUM(R27:R35)</f>
        <v>0</v>
      </c>
      <c r="S36" s="51">
        <v>4</v>
      </c>
      <c r="T36" s="51"/>
      <c r="U36" s="523" t="s">
        <v>271</v>
      </c>
      <c r="V36" s="27">
        <f>SUM(V27:V35)</f>
        <v>4450</v>
      </c>
      <c r="W36" s="522"/>
      <c r="X36" s="75">
        <f>SUM(X27:X35)</f>
        <v>0</v>
      </c>
      <c r="Y36" s="51">
        <v>4</v>
      </c>
      <c r="Z36" s="189"/>
      <c r="AA36" s="523" t="s">
        <v>271</v>
      </c>
      <c r="AB36" s="27">
        <f xml:space="preserve"> SUM(AB27:AB35)</f>
        <v>0</v>
      </c>
      <c r="AC36" s="28"/>
      <c r="AD36" s="75">
        <f>SUM(AD27:AD35)</f>
        <v>0</v>
      </c>
      <c r="AE36" s="524">
        <f>D36+J36+P36+V36+AB36</f>
        <v>10400</v>
      </c>
    </row>
    <row r="37" spans="1:31" ht="16.2" customHeight="1">
      <c r="A37" s="51">
        <v>9</v>
      </c>
      <c r="C37" s="13"/>
      <c r="D37" s="13"/>
      <c r="E37" s="13"/>
      <c r="F37" s="13"/>
      <c r="G37" s="51">
        <v>9</v>
      </c>
      <c r="H37" s="51"/>
      <c r="I37" s="13"/>
      <c r="J37" s="526"/>
      <c r="K37" s="526"/>
      <c r="L37" s="526"/>
      <c r="M37" s="51">
        <v>9</v>
      </c>
      <c r="N37" s="51"/>
      <c r="O37" s="526"/>
      <c r="P37" s="526"/>
      <c r="Q37" s="526"/>
      <c r="R37" s="526"/>
      <c r="S37" s="51">
        <v>9</v>
      </c>
      <c r="T37" s="51"/>
      <c r="U37" s="489"/>
      <c r="V37" s="489"/>
      <c r="W37" s="489"/>
      <c r="X37" s="489"/>
      <c r="Y37" s="51">
        <v>9</v>
      </c>
      <c r="Z37" s="489"/>
      <c r="AA37" s="537"/>
      <c r="AB37" s="213"/>
      <c r="AD37" s="527" t="s">
        <v>243</v>
      </c>
      <c r="AE37" s="93">
        <f>A大阪市西区折込部数+M大阪市西区折込部数+S大阪市西区折込部数+Y大阪市西区折込部数+AD36</f>
        <v>0</v>
      </c>
    </row>
    <row r="38" spans="1:31" ht="16.2" customHeight="1">
      <c r="C38"/>
      <c r="J38" s="489"/>
      <c r="K38" s="489"/>
      <c r="L38" s="489"/>
      <c r="N38" s="489"/>
      <c r="O38" s="537"/>
      <c r="P38" s="489"/>
      <c r="Q38" s="489"/>
      <c r="R38" s="489"/>
      <c r="T38" s="489"/>
      <c r="U38" s="538"/>
      <c r="V38" s="489"/>
      <c r="W38" s="489"/>
      <c r="X38" s="489"/>
      <c r="Z38" s="489"/>
      <c r="AA38" s="538"/>
      <c r="AB38" s="489"/>
    </row>
    <row r="39" spans="1:31">
      <c r="C39" s="539"/>
      <c r="D39" s="489"/>
      <c r="E39" s="489"/>
      <c r="F39" s="489"/>
      <c r="H39" s="489"/>
      <c r="I39" s="489"/>
      <c r="J39" s="489"/>
      <c r="K39" s="489"/>
      <c r="L39" s="489"/>
      <c r="N39" s="489"/>
      <c r="O39" s="537"/>
      <c r="P39" s="489"/>
      <c r="Q39" s="489"/>
      <c r="R39" s="489"/>
      <c r="T39" s="489"/>
      <c r="U39" s="537"/>
      <c r="V39" s="489"/>
      <c r="W39" s="489"/>
      <c r="X39" s="489"/>
      <c r="Z39" s="489"/>
      <c r="AA39" s="537"/>
      <c r="AB39" s="489"/>
      <c r="AC39" s="489"/>
      <c r="AD39" s="489"/>
      <c r="AE39" s="489"/>
    </row>
    <row r="40" spans="1:31">
      <c r="C40" s="539"/>
      <c r="D40" s="489"/>
      <c r="E40" s="489"/>
      <c r="F40" s="489"/>
      <c r="H40" s="489"/>
      <c r="I40" s="489"/>
      <c r="J40" s="489"/>
      <c r="K40" s="489"/>
      <c r="L40" s="489"/>
      <c r="N40" s="489"/>
      <c r="O40" s="537"/>
      <c r="P40" s="489"/>
      <c r="Q40" s="489"/>
      <c r="U40" s="537"/>
      <c r="V40" s="489"/>
      <c r="W40" s="489"/>
      <c r="X40" s="489"/>
      <c r="Z40" s="489"/>
      <c r="AA40" s="537"/>
      <c r="AB40" s="489"/>
      <c r="AC40" s="489"/>
      <c r="AD40" s="489"/>
      <c r="AE40" s="489"/>
    </row>
    <row r="41" spans="1:31">
      <c r="C41" s="539"/>
      <c r="D41" s="489"/>
      <c r="E41" s="489"/>
      <c r="F41" s="489"/>
      <c r="H41" s="489"/>
      <c r="I41" s="489"/>
      <c r="J41" s="489"/>
      <c r="K41" s="489"/>
      <c r="L41" s="489"/>
      <c r="N41" s="489"/>
      <c r="O41" s="537"/>
      <c r="P41" s="489"/>
      <c r="Q41" s="489"/>
      <c r="R41" s="489"/>
      <c r="T41" s="489"/>
      <c r="U41" s="537"/>
      <c r="V41" s="489"/>
      <c r="W41" s="489"/>
      <c r="X41" s="489"/>
      <c r="Z41" s="489"/>
      <c r="AA41" s="537"/>
      <c r="AB41" s="489"/>
      <c r="AC41" s="489"/>
      <c r="AD41" s="489"/>
      <c r="AE41" s="489"/>
    </row>
    <row r="42" spans="1:31">
      <c r="C42" s="539"/>
      <c r="D42" s="489"/>
      <c r="E42" s="489"/>
      <c r="F42" s="489"/>
      <c r="H42" s="489"/>
      <c r="I42" s="489"/>
      <c r="J42" s="489"/>
      <c r="K42" s="489"/>
      <c r="L42" s="489"/>
      <c r="N42" s="489"/>
      <c r="O42" s="537"/>
      <c r="P42" s="489"/>
      <c r="Q42" s="489"/>
      <c r="R42" s="489"/>
      <c r="T42" s="489"/>
      <c r="U42" s="537"/>
      <c r="V42" s="489"/>
      <c r="W42" s="489"/>
      <c r="X42" s="489"/>
      <c r="Z42" s="489"/>
      <c r="AA42" s="537"/>
      <c r="AB42" s="489"/>
      <c r="AC42" s="489"/>
      <c r="AD42" s="489"/>
      <c r="AE42" s="489"/>
    </row>
    <row r="43" spans="1:31">
      <c r="C43" s="539"/>
      <c r="D43" s="489"/>
      <c r="E43" s="489"/>
      <c r="F43" s="489"/>
      <c r="H43" s="489"/>
      <c r="I43" s="489"/>
      <c r="J43" s="489"/>
      <c r="K43" s="489"/>
      <c r="L43" s="489"/>
      <c r="N43" s="489"/>
      <c r="O43" s="537"/>
      <c r="P43" s="489"/>
      <c r="Q43" s="489"/>
      <c r="R43" s="489"/>
      <c r="T43" s="489"/>
      <c r="U43" s="537"/>
      <c r="V43" s="489"/>
      <c r="W43" s="489"/>
      <c r="X43" s="489"/>
      <c r="Z43" s="489"/>
      <c r="AA43" s="537"/>
      <c r="AB43" s="489"/>
      <c r="AC43" s="489"/>
      <c r="AD43" s="489"/>
      <c r="AE43" s="489"/>
    </row>
    <row r="44" spans="1:31">
      <c r="C44" s="539"/>
      <c r="D44" s="489"/>
      <c r="E44" s="489"/>
      <c r="F44" s="489"/>
      <c r="H44" s="489"/>
      <c r="I44" s="489"/>
      <c r="J44" s="489"/>
      <c r="K44" s="489"/>
      <c r="L44" s="489"/>
      <c r="N44" s="489"/>
      <c r="O44" s="537"/>
      <c r="P44" s="489"/>
      <c r="Q44" s="489"/>
      <c r="R44" s="489"/>
      <c r="T44" s="489"/>
      <c r="U44" s="537"/>
      <c r="V44" s="489"/>
      <c r="W44" s="489"/>
      <c r="X44" s="489"/>
      <c r="Z44" s="489"/>
      <c r="AA44" s="537"/>
      <c r="AB44" s="489"/>
      <c r="AC44" s="489"/>
      <c r="AD44" s="489"/>
      <c r="AE44" s="489"/>
    </row>
    <row r="45" spans="1:31">
      <c r="C45" s="539"/>
      <c r="D45" s="489"/>
      <c r="E45" s="489"/>
      <c r="F45" s="489"/>
      <c r="H45" s="489"/>
      <c r="I45" s="489"/>
      <c r="J45" s="489"/>
      <c r="K45" s="489"/>
      <c r="L45" s="489"/>
      <c r="N45" s="489"/>
      <c r="O45" s="537"/>
      <c r="P45" s="489"/>
      <c r="Q45" s="489"/>
      <c r="R45" s="489"/>
      <c r="T45" s="489"/>
      <c r="U45" s="537"/>
      <c r="V45" s="489"/>
      <c r="W45" s="489"/>
      <c r="X45" s="489"/>
      <c r="Z45" s="489"/>
      <c r="AA45" s="537"/>
      <c r="AB45" s="489"/>
      <c r="AC45" s="489"/>
      <c r="AD45" s="489"/>
      <c r="AE45" s="489"/>
    </row>
    <row r="46" spans="1:31">
      <c r="C46" s="539"/>
      <c r="D46" s="489"/>
      <c r="E46" s="489"/>
      <c r="F46" s="489"/>
      <c r="H46" s="489"/>
      <c r="I46" s="489"/>
      <c r="J46" s="489"/>
      <c r="K46" s="489"/>
      <c r="L46" s="489"/>
      <c r="N46" s="489"/>
      <c r="O46" s="537"/>
      <c r="P46" s="489"/>
      <c r="Q46" s="489"/>
      <c r="R46" s="489"/>
      <c r="T46" s="489"/>
      <c r="U46" s="537"/>
      <c r="V46" s="489"/>
      <c r="W46" s="489"/>
      <c r="X46" s="489"/>
      <c r="Z46" s="489"/>
      <c r="AA46" s="537"/>
      <c r="AB46" s="489"/>
      <c r="AC46" s="489"/>
      <c r="AD46" s="489"/>
      <c r="AE46" s="489"/>
    </row>
    <row r="47" spans="1:31">
      <c r="C47" s="539"/>
      <c r="D47" s="489"/>
      <c r="E47" s="489"/>
      <c r="F47" s="489"/>
      <c r="H47" s="489"/>
      <c r="I47" s="489"/>
      <c r="J47" s="489"/>
      <c r="K47" s="489"/>
      <c r="L47" s="489"/>
      <c r="N47" s="489"/>
      <c r="O47" s="537"/>
      <c r="P47" s="489"/>
      <c r="Q47" s="489"/>
      <c r="R47" s="489"/>
      <c r="T47" s="489"/>
      <c r="U47" s="537"/>
      <c r="V47" s="489"/>
      <c r="W47" s="489"/>
      <c r="X47" s="489"/>
      <c r="Z47" s="489"/>
      <c r="AA47" s="537"/>
      <c r="AB47" s="489"/>
      <c r="AC47" s="489"/>
      <c r="AD47" s="489"/>
      <c r="AE47" s="489"/>
    </row>
    <row r="48" spans="1:31">
      <c r="C48" s="539"/>
      <c r="D48" s="489"/>
      <c r="E48" s="489"/>
      <c r="F48" s="489"/>
      <c r="H48" s="489"/>
      <c r="I48" s="489"/>
      <c r="J48" s="489"/>
      <c r="K48" s="489"/>
      <c r="L48" s="489"/>
      <c r="N48" s="489"/>
      <c r="O48" s="537"/>
      <c r="P48" s="489"/>
      <c r="Q48" s="489"/>
      <c r="R48" s="489"/>
      <c r="T48" s="489"/>
      <c r="U48" s="537"/>
      <c r="V48" s="489"/>
      <c r="W48" s="489"/>
      <c r="X48" s="489"/>
      <c r="Z48" s="489"/>
      <c r="AA48" s="537"/>
      <c r="AB48" s="489"/>
      <c r="AC48" s="489"/>
      <c r="AD48" s="489"/>
      <c r="AE48" s="489"/>
    </row>
    <row r="49" spans="3:31">
      <c r="C49" s="539"/>
      <c r="D49" s="489"/>
      <c r="E49" s="489"/>
      <c r="F49" s="489"/>
      <c r="H49" s="489"/>
      <c r="I49" s="489"/>
      <c r="J49" s="489"/>
      <c r="K49" s="489"/>
      <c r="L49" s="489"/>
      <c r="N49" s="489"/>
      <c r="O49" s="537"/>
      <c r="P49" s="489"/>
      <c r="Q49" s="489"/>
      <c r="R49" s="489"/>
      <c r="T49" s="489"/>
      <c r="U49" s="537"/>
      <c r="V49" s="489"/>
      <c r="W49" s="489"/>
      <c r="X49" s="489"/>
      <c r="Z49" s="489"/>
      <c r="AA49" s="537"/>
      <c r="AB49" s="489"/>
      <c r="AC49" s="489"/>
      <c r="AD49" s="489"/>
      <c r="AE49" s="489"/>
    </row>
    <row r="50" spans="3:31">
      <c r="C50" s="539"/>
      <c r="D50" s="489"/>
      <c r="E50" s="489"/>
      <c r="F50" s="489"/>
      <c r="H50" s="489"/>
      <c r="I50" s="489"/>
      <c r="J50" s="489"/>
      <c r="K50" s="489"/>
      <c r="L50" s="489"/>
      <c r="N50" s="489"/>
      <c r="O50" s="537"/>
      <c r="P50" s="489"/>
      <c r="Q50" s="489"/>
      <c r="R50" s="489"/>
      <c r="T50" s="489"/>
      <c r="U50" s="537"/>
      <c r="V50" s="489"/>
      <c r="W50" s="489"/>
      <c r="X50" s="489"/>
      <c r="Z50" s="489"/>
      <c r="AA50" s="537"/>
      <c r="AB50" s="489"/>
      <c r="AC50" s="489"/>
      <c r="AD50" s="489"/>
      <c r="AE50" s="489"/>
    </row>
    <row r="51" spans="3:31">
      <c r="C51" s="539"/>
      <c r="D51" s="489"/>
      <c r="E51" s="489"/>
      <c r="F51" s="489"/>
      <c r="H51" s="489"/>
      <c r="I51" s="489"/>
      <c r="J51" s="489"/>
      <c r="K51" s="489"/>
      <c r="L51" s="489"/>
      <c r="N51" s="489"/>
      <c r="O51" s="537"/>
      <c r="P51" s="489"/>
      <c r="Q51" s="489"/>
      <c r="R51" s="489"/>
      <c r="T51" s="489"/>
      <c r="U51" s="537"/>
      <c r="V51" s="489"/>
      <c r="W51" s="489"/>
      <c r="X51" s="489"/>
      <c r="Z51" s="489"/>
      <c r="AA51" s="537"/>
      <c r="AB51" s="489"/>
      <c r="AC51" s="489"/>
      <c r="AD51" s="489"/>
      <c r="AE51" s="489"/>
    </row>
    <row r="52" spans="3:31">
      <c r="C52" s="539"/>
      <c r="D52" s="489"/>
      <c r="E52" s="489"/>
      <c r="F52" s="489"/>
      <c r="H52" s="489"/>
      <c r="I52" s="489"/>
      <c r="J52" s="489"/>
      <c r="K52" s="489"/>
      <c r="L52" s="489"/>
      <c r="N52" s="489"/>
      <c r="O52" s="537"/>
      <c r="P52" s="489"/>
      <c r="Q52" s="489"/>
      <c r="R52" s="489"/>
      <c r="T52" s="489"/>
      <c r="U52" s="537"/>
      <c r="V52" s="489"/>
      <c r="W52" s="489"/>
      <c r="X52" s="489"/>
      <c r="Z52" s="489"/>
      <c r="AA52" s="537"/>
      <c r="AB52" s="489"/>
      <c r="AC52" s="489"/>
      <c r="AD52" s="489"/>
      <c r="AE52" s="489"/>
    </row>
    <row r="53" spans="3:31">
      <c r="C53" s="539"/>
      <c r="D53" s="489"/>
      <c r="E53" s="489"/>
      <c r="F53" s="489"/>
      <c r="H53" s="489"/>
      <c r="I53" s="489"/>
      <c r="J53" s="489"/>
      <c r="K53" s="489"/>
      <c r="L53" s="489"/>
      <c r="N53" s="489"/>
      <c r="O53" s="537"/>
      <c r="P53" s="489"/>
      <c r="Q53" s="489"/>
      <c r="R53" s="489"/>
      <c r="T53" s="489"/>
      <c r="U53" s="537"/>
      <c r="V53" s="489"/>
      <c r="W53" s="489"/>
      <c r="X53" s="489"/>
      <c r="Z53" s="489"/>
      <c r="AA53" s="537"/>
      <c r="AB53" s="489"/>
      <c r="AC53" s="489"/>
      <c r="AD53" s="489"/>
      <c r="AE53" s="489"/>
    </row>
    <row r="54" spans="3:31">
      <c r="C54" s="539"/>
      <c r="D54" s="489"/>
      <c r="E54" s="489"/>
      <c r="F54" s="489"/>
      <c r="H54" s="489"/>
      <c r="I54" s="489"/>
      <c r="J54" s="489"/>
      <c r="K54" s="489"/>
      <c r="L54" s="489"/>
      <c r="N54" s="489"/>
      <c r="O54" s="537"/>
      <c r="P54" s="489"/>
      <c r="Q54" s="489"/>
      <c r="R54" s="489"/>
      <c r="T54" s="489"/>
      <c r="U54" s="537"/>
      <c r="V54" s="489"/>
      <c r="W54" s="489"/>
      <c r="X54" s="489"/>
      <c r="Z54" s="489"/>
      <c r="AA54" s="537"/>
      <c r="AB54" s="489"/>
      <c r="AC54" s="489"/>
      <c r="AD54" s="489"/>
      <c r="AE54" s="489"/>
    </row>
    <row r="55" spans="3:31">
      <c r="C55" s="539"/>
      <c r="D55" s="489"/>
      <c r="E55" s="489"/>
      <c r="F55" s="489"/>
      <c r="H55" s="489"/>
      <c r="I55" s="489"/>
      <c r="J55" s="489"/>
      <c r="K55" s="489"/>
      <c r="L55" s="489"/>
      <c r="N55" s="489"/>
      <c r="O55" s="537"/>
      <c r="P55" s="489"/>
      <c r="Q55" s="489"/>
      <c r="R55" s="489"/>
      <c r="T55" s="489"/>
      <c r="U55" s="537"/>
      <c r="V55" s="489"/>
      <c r="W55" s="489"/>
      <c r="X55" s="489"/>
      <c r="Z55" s="489"/>
      <c r="AA55" s="537"/>
      <c r="AB55" s="489"/>
      <c r="AC55" s="489"/>
      <c r="AD55" s="489"/>
      <c r="AE55" s="489"/>
    </row>
    <row r="56" spans="3:31">
      <c r="C56" s="539"/>
      <c r="D56" s="489"/>
      <c r="E56" s="489"/>
      <c r="F56" s="489"/>
      <c r="H56" s="489"/>
      <c r="I56" s="489"/>
      <c r="J56" s="489"/>
      <c r="K56" s="489"/>
      <c r="L56" s="489"/>
      <c r="N56" s="489"/>
      <c r="O56" s="537"/>
      <c r="P56" s="489"/>
      <c r="Q56" s="489"/>
      <c r="R56" s="489"/>
      <c r="T56" s="489"/>
      <c r="U56" s="537"/>
      <c r="V56" s="489"/>
      <c r="W56" s="489"/>
      <c r="X56" s="489"/>
      <c r="Z56" s="489"/>
      <c r="AA56" s="537"/>
      <c r="AB56" s="489"/>
      <c r="AC56" s="489"/>
      <c r="AD56" s="489"/>
      <c r="AE56" s="489"/>
    </row>
    <row r="57" spans="3:31">
      <c r="C57" s="539"/>
      <c r="D57" s="489"/>
      <c r="E57" s="489"/>
      <c r="F57" s="489"/>
      <c r="H57" s="489"/>
      <c r="I57" s="489"/>
      <c r="J57" s="489"/>
      <c r="K57" s="489"/>
      <c r="L57" s="489"/>
      <c r="N57" s="489"/>
      <c r="O57" s="537"/>
      <c r="P57" s="489"/>
      <c r="Q57" s="489"/>
      <c r="R57" s="489"/>
      <c r="T57" s="489"/>
      <c r="U57" s="537"/>
      <c r="V57" s="489"/>
      <c r="W57" s="489"/>
      <c r="X57" s="489"/>
      <c r="Z57" s="489"/>
      <c r="AA57" s="537"/>
      <c r="AB57" s="489"/>
      <c r="AC57" s="489"/>
      <c r="AD57" s="489"/>
      <c r="AE57" s="489"/>
    </row>
    <row r="58" spans="3:31">
      <c r="C58" s="539"/>
      <c r="D58" s="489"/>
      <c r="E58" s="489"/>
      <c r="F58" s="489"/>
      <c r="H58" s="489"/>
      <c r="I58" s="489"/>
      <c r="J58" s="489"/>
      <c r="K58" s="489"/>
      <c r="L58" s="489"/>
      <c r="N58" s="489"/>
      <c r="O58" s="537"/>
      <c r="P58" s="489"/>
      <c r="Q58" s="489"/>
      <c r="R58" s="489"/>
      <c r="T58" s="489"/>
      <c r="U58" s="537"/>
      <c r="V58" s="489"/>
      <c r="W58" s="489"/>
      <c r="X58" s="489"/>
      <c r="Z58" s="489"/>
      <c r="AA58" s="537"/>
      <c r="AB58" s="489"/>
      <c r="AC58" s="489"/>
      <c r="AD58" s="489"/>
      <c r="AE58" s="489"/>
    </row>
    <row r="59" spans="3:31">
      <c r="C59" s="539"/>
      <c r="D59" s="489"/>
      <c r="E59" s="489"/>
      <c r="F59" s="489"/>
      <c r="H59" s="489"/>
      <c r="I59" s="489"/>
      <c r="J59" s="489"/>
      <c r="K59" s="489"/>
      <c r="L59" s="489"/>
      <c r="N59" s="489"/>
      <c r="O59" s="537"/>
      <c r="P59" s="489"/>
      <c r="Q59" s="489"/>
      <c r="R59" s="489"/>
      <c r="T59" s="489"/>
      <c r="U59" s="537"/>
      <c r="V59" s="489"/>
      <c r="W59" s="489"/>
      <c r="X59" s="489"/>
      <c r="Z59" s="489"/>
      <c r="AA59" s="537"/>
      <c r="AB59" s="489"/>
      <c r="AC59" s="489"/>
      <c r="AD59" s="489"/>
      <c r="AE59" s="489"/>
    </row>
    <row r="60" spans="3:31">
      <c r="C60" s="539"/>
      <c r="D60" s="489"/>
      <c r="E60" s="489"/>
      <c r="F60" s="489"/>
      <c r="H60" s="489"/>
      <c r="I60" s="489"/>
      <c r="J60" s="489"/>
      <c r="K60" s="489"/>
      <c r="L60" s="489"/>
      <c r="N60" s="489"/>
      <c r="O60" s="537"/>
      <c r="P60" s="489"/>
      <c r="Q60" s="489"/>
      <c r="R60" s="489"/>
      <c r="T60" s="489"/>
      <c r="U60" s="537"/>
      <c r="V60" s="489"/>
      <c r="W60" s="489"/>
      <c r="X60" s="489"/>
      <c r="Z60" s="489"/>
      <c r="AA60" s="537"/>
      <c r="AB60" s="489"/>
      <c r="AC60" s="489"/>
      <c r="AD60" s="489"/>
      <c r="AE60" s="489"/>
    </row>
    <row r="61" spans="3:31">
      <c r="C61" s="539"/>
      <c r="D61" s="489"/>
      <c r="E61" s="489"/>
      <c r="F61" s="489"/>
      <c r="H61" s="489"/>
      <c r="I61" s="489"/>
      <c r="J61" s="489"/>
      <c r="K61" s="489"/>
      <c r="L61" s="489"/>
      <c r="N61" s="489"/>
      <c r="O61" s="537"/>
      <c r="P61" s="489"/>
      <c r="Q61" s="489"/>
      <c r="R61" s="489"/>
      <c r="T61" s="489"/>
      <c r="U61" s="537"/>
      <c r="V61" s="489"/>
      <c r="W61" s="489"/>
      <c r="X61" s="489"/>
      <c r="Z61" s="489"/>
      <c r="AA61" s="537"/>
      <c r="AB61" s="489"/>
      <c r="AC61" s="489"/>
      <c r="AD61" s="489"/>
      <c r="AE61" s="489"/>
    </row>
    <row r="62" spans="3:31">
      <c r="C62" s="539"/>
      <c r="D62" s="489"/>
      <c r="E62" s="489"/>
      <c r="F62" s="489"/>
      <c r="H62" s="489"/>
      <c r="I62" s="489"/>
      <c r="J62" s="489"/>
      <c r="K62" s="489"/>
      <c r="L62" s="489"/>
      <c r="N62" s="489"/>
      <c r="O62" s="537"/>
      <c r="P62" s="489"/>
      <c r="Q62" s="489"/>
      <c r="R62" s="489"/>
      <c r="T62" s="489"/>
      <c r="U62" s="537"/>
      <c r="V62" s="489"/>
      <c r="W62" s="489"/>
      <c r="X62" s="489"/>
      <c r="Z62" s="489"/>
      <c r="AA62" s="537"/>
      <c r="AB62" s="489"/>
      <c r="AC62" s="489"/>
      <c r="AD62" s="489"/>
      <c r="AE62" s="489"/>
    </row>
    <row r="63" spans="3:31">
      <c r="C63" s="539"/>
      <c r="D63" s="489"/>
      <c r="E63" s="489"/>
      <c r="F63" s="489"/>
      <c r="H63" s="489"/>
      <c r="I63" s="489"/>
      <c r="J63" s="489"/>
      <c r="K63" s="489"/>
      <c r="L63" s="489"/>
      <c r="N63" s="489"/>
      <c r="O63" s="537"/>
      <c r="P63" s="489"/>
      <c r="Q63" s="489"/>
      <c r="R63" s="489"/>
      <c r="T63" s="489"/>
      <c r="U63" s="537"/>
      <c r="V63" s="489"/>
      <c r="W63" s="489"/>
      <c r="X63" s="489"/>
      <c r="Z63" s="489"/>
      <c r="AA63" s="537"/>
      <c r="AB63" s="489"/>
      <c r="AC63" s="489"/>
      <c r="AD63" s="489"/>
      <c r="AE63" s="489"/>
    </row>
    <row r="64" spans="3:31">
      <c r="C64" s="539"/>
      <c r="D64" s="489"/>
      <c r="E64" s="489"/>
      <c r="F64" s="489"/>
      <c r="H64" s="489"/>
      <c r="I64" s="489"/>
      <c r="J64" s="489"/>
      <c r="K64" s="489"/>
      <c r="L64" s="489"/>
      <c r="N64" s="489"/>
      <c r="O64" s="537"/>
      <c r="P64" s="489"/>
      <c r="Q64" s="489"/>
      <c r="R64" s="489"/>
      <c r="T64" s="489"/>
      <c r="U64" s="537"/>
      <c r="V64" s="489"/>
      <c r="W64" s="489"/>
      <c r="X64" s="489"/>
      <c r="Z64" s="489"/>
      <c r="AA64" s="537"/>
      <c r="AB64" s="489"/>
      <c r="AC64" s="489"/>
      <c r="AD64" s="489"/>
      <c r="AE64" s="489"/>
    </row>
    <row r="65" spans="3:31">
      <c r="C65" s="539"/>
      <c r="D65" s="489"/>
      <c r="E65" s="489"/>
      <c r="F65" s="489"/>
      <c r="H65" s="489"/>
      <c r="I65" s="489"/>
      <c r="J65" s="489"/>
      <c r="K65" s="489"/>
      <c r="L65" s="489"/>
      <c r="N65" s="489"/>
      <c r="O65" s="537"/>
      <c r="P65" s="489"/>
      <c r="Q65" s="489"/>
      <c r="R65" s="489"/>
      <c r="T65" s="489"/>
      <c r="U65" s="537"/>
      <c r="V65" s="489"/>
      <c r="W65" s="489"/>
      <c r="X65" s="489"/>
      <c r="Z65" s="489"/>
      <c r="AA65" s="537"/>
      <c r="AB65" s="489"/>
      <c r="AC65" s="489"/>
      <c r="AD65" s="489"/>
      <c r="AE65" s="489"/>
    </row>
    <row r="66" spans="3:31">
      <c r="C66" s="539"/>
      <c r="D66" s="489"/>
      <c r="E66" s="489"/>
      <c r="F66" s="489"/>
      <c r="H66" s="489"/>
      <c r="I66" s="489"/>
      <c r="J66" s="489"/>
      <c r="K66" s="489"/>
      <c r="L66" s="489"/>
      <c r="N66" s="489"/>
      <c r="O66" s="537"/>
      <c r="P66" s="489"/>
      <c r="Q66" s="489"/>
      <c r="R66" s="489"/>
      <c r="T66" s="489"/>
      <c r="U66" s="537"/>
      <c r="V66" s="489"/>
      <c r="W66" s="489"/>
      <c r="X66" s="489"/>
      <c r="Z66" s="489"/>
      <c r="AA66" s="537"/>
      <c r="AB66" s="489"/>
      <c r="AC66" s="489"/>
      <c r="AD66" s="489"/>
      <c r="AE66" s="489"/>
    </row>
    <row r="67" spans="3:31">
      <c r="C67" s="539"/>
      <c r="D67" s="489"/>
      <c r="E67" s="489"/>
      <c r="F67" s="489"/>
      <c r="H67" s="489"/>
      <c r="I67" s="489"/>
      <c r="J67" s="489"/>
      <c r="K67" s="489"/>
      <c r="L67" s="489"/>
      <c r="N67" s="489"/>
      <c r="O67" s="537"/>
      <c r="P67" s="489"/>
      <c r="Q67" s="489"/>
      <c r="R67" s="489"/>
      <c r="T67" s="489"/>
      <c r="U67" s="537"/>
      <c r="V67" s="489"/>
      <c r="W67" s="489"/>
      <c r="X67" s="489"/>
      <c r="Z67" s="489"/>
      <c r="AA67" s="537"/>
      <c r="AB67" s="489"/>
      <c r="AC67" s="489"/>
      <c r="AD67" s="489"/>
      <c r="AE67" s="489"/>
    </row>
    <row r="68" spans="3:31">
      <c r="C68" s="539"/>
      <c r="D68" s="489"/>
      <c r="E68" s="489"/>
      <c r="F68" s="489"/>
      <c r="H68" s="489"/>
      <c r="I68" s="489"/>
      <c r="J68" s="489"/>
      <c r="K68" s="489"/>
      <c r="L68" s="489"/>
      <c r="N68" s="489"/>
      <c r="O68" s="537"/>
      <c r="P68" s="489"/>
      <c r="Q68" s="489"/>
      <c r="R68" s="489"/>
      <c r="T68" s="489"/>
      <c r="U68" s="537"/>
      <c r="V68" s="489"/>
      <c r="W68" s="489"/>
      <c r="X68" s="489"/>
      <c r="Z68" s="489"/>
      <c r="AA68" s="537"/>
      <c r="AB68" s="489"/>
      <c r="AC68" s="489"/>
      <c r="AD68" s="489"/>
      <c r="AE68" s="489"/>
    </row>
    <row r="69" spans="3:31">
      <c r="C69" s="539"/>
      <c r="D69" s="489"/>
      <c r="E69" s="489"/>
      <c r="F69" s="489"/>
      <c r="H69" s="489"/>
      <c r="I69" s="489"/>
      <c r="J69" s="489"/>
      <c r="K69" s="489"/>
      <c r="L69" s="489"/>
      <c r="N69" s="489"/>
      <c r="O69" s="537"/>
      <c r="P69" s="489"/>
      <c r="Q69" s="489"/>
      <c r="R69" s="489"/>
      <c r="T69" s="489"/>
      <c r="U69" s="537"/>
      <c r="V69" s="489"/>
      <c r="W69" s="489"/>
      <c r="X69" s="489"/>
      <c r="Z69" s="489"/>
      <c r="AA69" s="537"/>
      <c r="AB69" s="489"/>
      <c r="AC69" s="489"/>
      <c r="AD69" s="489"/>
      <c r="AE69" s="489"/>
    </row>
    <row r="70" spans="3:31">
      <c r="C70" s="539"/>
      <c r="D70" s="489"/>
      <c r="E70" s="489"/>
      <c r="F70" s="489"/>
      <c r="H70" s="489"/>
      <c r="I70" s="489"/>
      <c r="J70" s="489"/>
      <c r="K70" s="489"/>
      <c r="L70" s="489"/>
      <c r="N70" s="489"/>
      <c r="O70" s="537"/>
      <c r="P70" s="489"/>
      <c r="Q70" s="489"/>
      <c r="R70" s="489"/>
      <c r="T70" s="489"/>
      <c r="U70" s="537"/>
      <c r="V70" s="489"/>
      <c r="W70" s="489"/>
      <c r="X70" s="489"/>
      <c r="Z70" s="489"/>
      <c r="AA70" s="537"/>
      <c r="AB70" s="489"/>
      <c r="AC70" s="489"/>
      <c r="AD70" s="489"/>
      <c r="AE70" s="489"/>
    </row>
    <row r="71" spans="3:31">
      <c r="C71" s="539"/>
      <c r="D71" s="489"/>
      <c r="E71" s="489"/>
      <c r="F71" s="489"/>
      <c r="H71" s="489"/>
      <c r="I71" s="489"/>
      <c r="J71" s="489"/>
      <c r="K71" s="489"/>
      <c r="L71" s="489"/>
      <c r="N71" s="489"/>
      <c r="O71" s="537"/>
      <c r="P71" s="489"/>
      <c r="Q71" s="489"/>
      <c r="R71" s="489"/>
      <c r="T71" s="489"/>
      <c r="U71" s="537"/>
      <c r="V71" s="489"/>
      <c r="W71" s="489"/>
      <c r="X71" s="489"/>
      <c r="Z71" s="489"/>
      <c r="AA71" s="537"/>
      <c r="AB71" s="489"/>
      <c r="AC71" s="489"/>
      <c r="AD71" s="489"/>
      <c r="AE71" s="489"/>
    </row>
    <row r="72" spans="3:31">
      <c r="C72" s="539"/>
      <c r="D72" s="489"/>
      <c r="E72" s="489"/>
      <c r="F72" s="489"/>
      <c r="H72" s="489"/>
      <c r="I72" s="489"/>
      <c r="J72" s="489"/>
      <c r="K72" s="489"/>
      <c r="L72" s="489"/>
      <c r="N72" s="489"/>
      <c r="O72" s="537"/>
      <c r="P72" s="489"/>
      <c r="Q72" s="489"/>
      <c r="R72" s="489"/>
      <c r="T72" s="489"/>
      <c r="U72" s="537"/>
      <c r="V72" s="489"/>
      <c r="W72" s="489"/>
      <c r="X72" s="489"/>
      <c r="Z72" s="489"/>
      <c r="AA72" s="537"/>
      <c r="AB72" s="489"/>
      <c r="AC72" s="489"/>
      <c r="AD72" s="489"/>
      <c r="AE72" s="489"/>
    </row>
    <row r="73" spans="3:31">
      <c r="C73" s="539"/>
      <c r="D73" s="489"/>
      <c r="E73" s="489"/>
      <c r="F73" s="489"/>
      <c r="H73" s="489"/>
      <c r="I73" s="489"/>
      <c r="J73" s="489"/>
      <c r="K73" s="489"/>
      <c r="L73" s="489"/>
      <c r="N73" s="489"/>
      <c r="O73" s="537"/>
      <c r="P73" s="489"/>
      <c r="Q73" s="489"/>
      <c r="R73" s="489"/>
      <c r="T73" s="489"/>
      <c r="U73" s="537"/>
      <c r="V73" s="489"/>
      <c r="W73" s="489"/>
      <c r="X73" s="489"/>
      <c r="Z73" s="489"/>
      <c r="AA73" s="537"/>
      <c r="AB73" s="489"/>
      <c r="AC73" s="489"/>
      <c r="AD73" s="489"/>
      <c r="AE73" s="489"/>
    </row>
    <row r="74" spans="3:31">
      <c r="C74" s="539"/>
      <c r="D74" s="489"/>
      <c r="E74" s="489"/>
      <c r="F74" s="489"/>
      <c r="H74" s="489"/>
      <c r="I74" s="489"/>
      <c r="J74" s="489"/>
      <c r="K74" s="489"/>
      <c r="L74" s="489"/>
      <c r="N74" s="489"/>
      <c r="O74" s="537"/>
      <c r="P74" s="489"/>
      <c r="Q74" s="489"/>
      <c r="R74" s="489"/>
      <c r="T74" s="489"/>
      <c r="U74" s="537"/>
      <c r="V74" s="489"/>
      <c r="W74" s="489"/>
      <c r="X74" s="489"/>
      <c r="Z74" s="489"/>
      <c r="AA74" s="537"/>
      <c r="AB74" s="489"/>
      <c r="AC74" s="489"/>
      <c r="AD74" s="489"/>
      <c r="AE74" s="489"/>
    </row>
    <row r="75" spans="3:31">
      <c r="C75" s="539"/>
      <c r="D75" s="489"/>
      <c r="E75" s="489"/>
      <c r="F75" s="489"/>
      <c r="H75" s="489"/>
      <c r="I75" s="489"/>
      <c r="J75" s="489"/>
      <c r="K75" s="489"/>
      <c r="L75" s="489"/>
      <c r="N75" s="489"/>
      <c r="O75" s="537"/>
      <c r="P75" s="489"/>
      <c r="Q75" s="489"/>
      <c r="R75" s="489"/>
      <c r="T75" s="489"/>
      <c r="U75" s="537"/>
      <c r="V75" s="489"/>
      <c r="W75" s="489"/>
      <c r="X75" s="489"/>
      <c r="Z75" s="489"/>
      <c r="AA75" s="537"/>
      <c r="AB75" s="489"/>
      <c r="AC75" s="489"/>
      <c r="AD75" s="489"/>
      <c r="AE75" s="489"/>
    </row>
    <row r="76" spans="3:31">
      <c r="C76" s="539"/>
      <c r="D76" s="489"/>
      <c r="E76" s="489"/>
      <c r="F76" s="489"/>
      <c r="H76" s="489"/>
      <c r="I76" s="489"/>
      <c r="J76" s="489"/>
      <c r="K76" s="489"/>
      <c r="L76" s="489"/>
      <c r="N76" s="489"/>
      <c r="O76" s="537"/>
      <c r="P76" s="489"/>
      <c r="Q76" s="489"/>
      <c r="R76" s="489"/>
      <c r="T76" s="489"/>
      <c r="U76" s="537"/>
      <c r="V76" s="489"/>
      <c r="W76" s="489"/>
      <c r="X76" s="489"/>
      <c r="Z76" s="489"/>
      <c r="AA76" s="537"/>
      <c r="AB76" s="489"/>
      <c r="AC76" s="489"/>
      <c r="AD76" s="489"/>
      <c r="AE76" s="489"/>
    </row>
    <row r="77" spans="3:31">
      <c r="C77" s="539"/>
      <c r="D77" s="489"/>
      <c r="E77" s="489"/>
      <c r="F77" s="489"/>
      <c r="H77" s="489"/>
      <c r="I77" s="489"/>
      <c r="J77" s="489"/>
      <c r="K77" s="489"/>
      <c r="L77" s="489"/>
      <c r="N77" s="489"/>
      <c r="O77" s="537"/>
      <c r="P77" s="489"/>
      <c r="Q77" s="489"/>
      <c r="R77" s="489"/>
      <c r="T77" s="489"/>
      <c r="U77" s="537"/>
      <c r="V77" s="489"/>
      <c r="W77" s="489"/>
      <c r="X77" s="489"/>
      <c r="Z77" s="489"/>
      <c r="AA77" s="537"/>
      <c r="AB77" s="489"/>
      <c r="AC77" s="489"/>
      <c r="AD77" s="489"/>
      <c r="AE77" s="489"/>
    </row>
    <row r="78" spans="3:31">
      <c r="C78" s="539"/>
      <c r="D78" s="489"/>
      <c r="E78" s="489"/>
      <c r="F78" s="489"/>
      <c r="H78" s="489"/>
      <c r="I78" s="489"/>
      <c r="J78" s="489"/>
      <c r="K78" s="489"/>
      <c r="L78" s="489"/>
      <c r="N78" s="489"/>
      <c r="O78" s="537"/>
      <c r="P78" s="489"/>
      <c r="Q78" s="489"/>
      <c r="R78" s="489"/>
      <c r="T78" s="489"/>
      <c r="U78" s="537"/>
      <c r="V78" s="489"/>
      <c r="W78" s="489"/>
      <c r="X78" s="489"/>
      <c r="Z78" s="489"/>
      <c r="AA78" s="537"/>
      <c r="AB78" s="489"/>
      <c r="AC78" s="489"/>
      <c r="AD78" s="489"/>
      <c r="AE78" s="489"/>
    </row>
    <row r="79" spans="3:31">
      <c r="C79" s="539"/>
      <c r="D79" s="489"/>
      <c r="E79" s="489"/>
      <c r="F79" s="489"/>
      <c r="H79" s="489"/>
      <c r="I79" s="489"/>
      <c r="J79" s="489"/>
      <c r="K79" s="489"/>
      <c r="L79" s="489"/>
      <c r="N79" s="489"/>
      <c r="O79" s="537"/>
      <c r="P79" s="489"/>
      <c r="Q79" s="489"/>
      <c r="R79" s="489"/>
      <c r="T79" s="489"/>
      <c r="U79" s="537"/>
      <c r="V79" s="489"/>
      <c r="W79" s="489"/>
      <c r="X79" s="489"/>
      <c r="Z79" s="489"/>
      <c r="AA79" s="537"/>
      <c r="AB79" s="489"/>
      <c r="AC79" s="489"/>
      <c r="AD79" s="489"/>
      <c r="AE79" s="489"/>
    </row>
    <row r="80" spans="3:31">
      <c r="C80" s="539"/>
      <c r="D80" s="489"/>
      <c r="E80" s="489"/>
      <c r="F80" s="489"/>
      <c r="H80" s="489"/>
      <c r="I80" s="489"/>
      <c r="J80" s="489"/>
      <c r="K80" s="489"/>
      <c r="L80" s="489"/>
      <c r="N80" s="489"/>
      <c r="O80" s="537"/>
      <c r="P80" s="489"/>
      <c r="Q80" s="489"/>
      <c r="R80" s="489"/>
      <c r="T80" s="489"/>
      <c r="U80" s="537"/>
      <c r="V80" s="489"/>
      <c r="W80" s="489"/>
      <c r="X80" s="489"/>
      <c r="Z80" s="489"/>
      <c r="AA80" s="537"/>
      <c r="AB80" s="489"/>
      <c r="AC80" s="489"/>
      <c r="AD80" s="489"/>
      <c r="AE80" s="489"/>
    </row>
    <row r="81" spans="3:31">
      <c r="C81" s="539"/>
      <c r="D81" s="489"/>
      <c r="E81" s="489"/>
      <c r="F81" s="489"/>
      <c r="H81" s="489"/>
      <c r="I81" s="489"/>
      <c r="J81" s="489"/>
      <c r="K81" s="489"/>
      <c r="L81" s="489"/>
      <c r="N81" s="489"/>
      <c r="O81" s="537"/>
      <c r="P81" s="489"/>
      <c r="Q81" s="489"/>
      <c r="R81" s="489"/>
      <c r="T81" s="489"/>
      <c r="U81" s="537"/>
      <c r="V81" s="489"/>
      <c r="W81" s="489"/>
      <c r="X81" s="489"/>
      <c r="Z81" s="489"/>
      <c r="AA81" s="537"/>
      <c r="AB81" s="489"/>
      <c r="AC81" s="489"/>
      <c r="AD81" s="489"/>
      <c r="AE81" s="489"/>
    </row>
    <row r="82" spans="3:31">
      <c r="C82" s="539"/>
      <c r="D82" s="489"/>
      <c r="E82" s="489"/>
      <c r="F82" s="489"/>
      <c r="H82" s="489"/>
      <c r="I82" s="489"/>
      <c r="J82" s="489"/>
      <c r="K82" s="489"/>
      <c r="L82" s="489"/>
      <c r="N82" s="489"/>
      <c r="O82" s="537"/>
      <c r="P82" s="489"/>
      <c r="Q82" s="489"/>
      <c r="R82" s="489"/>
      <c r="T82" s="489"/>
      <c r="U82" s="537"/>
      <c r="V82" s="489"/>
      <c r="W82" s="489"/>
      <c r="X82" s="489"/>
      <c r="Z82" s="489"/>
      <c r="AA82" s="537"/>
      <c r="AB82" s="489"/>
      <c r="AC82" s="489"/>
      <c r="AD82" s="489"/>
      <c r="AE82" s="489"/>
    </row>
  </sheetData>
  <sheetProtection formatCells="0"/>
  <dataConsolidate/>
  <mergeCells count="14">
    <mergeCell ref="C2:F3"/>
    <mergeCell ref="W5:X5"/>
    <mergeCell ref="D5:L6"/>
    <mergeCell ref="P5:V6"/>
    <mergeCell ref="AA5:AC6"/>
    <mergeCell ref="U10:X10"/>
    <mergeCell ref="AA10:AD10"/>
    <mergeCell ref="W7:X7"/>
    <mergeCell ref="C10:F10"/>
    <mergeCell ref="I10:L10"/>
    <mergeCell ref="O10:R10"/>
    <mergeCell ref="D7:L8"/>
    <mergeCell ref="P7:Q8"/>
    <mergeCell ref="AA7:AE8"/>
  </mergeCells>
  <phoneticPr fontId="2"/>
  <conditionalFormatting sqref="F13:F23 L13:L23 R13:R23 X13:X23 F27:F35 L27:L35 R27:R35 X27:X35">
    <cfRule type="cellIs" dxfId="52" priority="9" operator="greaterThan">
      <formula>D13</formula>
    </cfRule>
  </conditionalFormatting>
  <hyperlinks>
    <hyperlink ref="C2:F3" location="提案表紙!A1" display="大阪府折込資料表" xr:uid="{00000000-0004-0000-04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&amp;L中央区・西区&amp;RP-1/34</oddFooter>
  </headerFooter>
  <rowBreaks count="1" manualBreakCount="1">
    <brk id="38" min="2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B6D2F5"/>
    <pageSetUpPr fitToPage="1"/>
  </sheetPr>
  <dimension ref="A1:AE78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style="15" customWidth="1"/>
    <col min="12" max="12" width="8.77734375" customWidth="1"/>
    <col min="13" max="14" width="8.6640625" hidden="1" customWidth="1"/>
    <col min="15" max="15" width="13.6640625" customWidth="1"/>
    <col min="16" max="16" width="6.77734375" customWidth="1"/>
    <col min="17" max="17" width="3.33203125" customWidth="1"/>
    <col min="18" max="18" width="9.44140625" customWidth="1"/>
    <col min="19" max="20" width="8.6640625" hidden="1" customWidth="1"/>
    <col min="21" max="21" width="13.77734375" customWidth="1"/>
    <col min="22" max="22" width="6.77734375" customWidth="1"/>
    <col min="23" max="23" width="3.33203125" customWidth="1"/>
    <col min="24" max="24" width="8.77734375" customWidth="1"/>
    <col min="25" max="26" width="8.6640625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t="13.2" hidden="1">
      <c r="A1" s="338" t="s">
        <v>1369</v>
      </c>
      <c r="B1" s="51" t="s">
        <v>1370</v>
      </c>
      <c r="C1" s="22"/>
      <c r="F1" s="51" t="s">
        <v>1371</v>
      </c>
      <c r="G1" s="338" t="s">
        <v>1369</v>
      </c>
      <c r="H1" s="51" t="s">
        <v>1370</v>
      </c>
      <c r="K1"/>
      <c r="L1" s="51" t="s">
        <v>1371</v>
      </c>
      <c r="M1" s="338" t="s">
        <v>1369</v>
      </c>
      <c r="N1" s="51" t="s">
        <v>1370</v>
      </c>
      <c r="O1" s="18"/>
      <c r="R1" s="51" t="s">
        <v>1371</v>
      </c>
      <c r="S1" s="338" t="s">
        <v>1369</v>
      </c>
      <c r="T1" s="51" t="s">
        <v>1370</v>
      </c>
      <c r="U1" s="18"/>
      <c r="X1" s="51" t="s">
        <v>1371</v>
      </c>
      <c r="Y1" s="338" t="s">
        <v>1369</v>
      </c>
      <c r="Z1" s="51" t="s">
        <v>1370</v>
      </c>
      <c r="AA1" s="18"/>
      <c r="AD1" s="51" t="s">
        <v>1371</v>
      </c>
    </row>
    <row r="2" spans="1:31" ht="13.5" customHeight="1">
      <c r="C2" s="835" t="s">
        <v>1362</v>
      </c>
      <c r="D2" s="835"/>
      <c r="E2" s="835"/>
      <c r="F2" s="835"/>
      <c r="G2" s="460"/>
      <c r="H2" s="460"/>
      <c r="K2"/>
      <c r="S2" s="51"/>
      <c r="W2" s="500"/>
      <c r="X2" s="500" t="s">
        <v>1313</v>
      </c>
    </row>
    <row r="3" spans="1:31" ht="13.5" customHeight="1">
      <c r="C3" s="835"/>
      <c r="D3" s="835"/>
      <c r="E3" s="835"/>
      <c r="F3" s="835"/>
      <c r="G3" s="460"/>
      <c r="H3" s="460"/>
      <c r="I3" s="114" t="s">
        <v>270</v>
      </c>
      <c r="K3"/>
      <c r="S3" s="51"/>
      <c r="W3" s="500"/>
      <c r="X3" s="500" t="s">
        <v>1501</v>
      </c>
    </row>
    <row r="4" spans="1:31" ht="13.5" customHeight="1">
      <c r="C4" t="s">
        <v>317</v>
      </c>
      <c r="I4" s="187">
        <v>45717</v>
      </c>
      <c r="J4" s="186" t="s">
        <v>0</v>
      </c>
      <c r="K4" t="s">
        <v>272</v>
      </c>
      <c r="S4" s="51"/>
      <c r="W4" s="500"/>
      <c r="X4" s="500" t="s">
        <v>1500</v>
      </c>
    </row>
    <row r="5" spans="1:31" ht="13.2" customHeight="1">
      <c r="C5" s="7" t="s">
        <v>314</v>
      </c>
      <c r="D5" s="823"/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180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298</v>
      </c>
      <c r="P7" s="827">
        <f>提案表紙!G9</f>
        <v>0</v>
      </c>
      <c r="Q7" s="828"/>
      <c r="R7" s="7" t="s">
        <v>249</v>
      </c>
      <c r="U7" s="410">
        <f>大阪市西淀川区折込部数+大阪市淀川区折込部数+大阪市東淀川区折込部数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250</v>
      </c>
      <c r="S8" s="11"/>
      <c r="T8" s="11"/>
      <c r="U8" s="410">
        <f>提案表紙!I9</f>
        <v>0</v>
      </c>
      <c r="V8" s="10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/>
    <row r="10" spans="1:31" ht="16.2" customHeight="1">
      <c r="A10" s="51">
        <v>1</v>
      </c>
      <c r="B10" s="51">
        <v>2</v>
      </c>
      <c r="C10" s="844" t="s">
        <v>229</v>
      </c>
      <c r="D10" s="845"/>
      <c r="E10" s="845"/>
      <c r="F10" s="846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311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505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505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505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505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505" t="s">
        <v>231</v>
      </c>
      <c r="AE11" s="507" t="s">
        <v>308</v>
      </c>
    </row>
    <row r="12" spans="1:31" ht="16.2" customHeight="1">
      <c r="A12" s="51">
        <v>2</v>
      </c>
      <c r="B12" s="487" t="s">
        <v>1387</v>
      </c>
      <c r="C12" s="46" t="s">
        <v>288</v>
      </c>
      <c r="D12" s="30" ph="1"/>
      <c r="E12" s="24"/>
      <c r="F12" s="506"/>
      <c r="G12" s="51">
        <v>2</v>
      </c>
      <c r="H12" s="487" t="s">
        <v>1387</v>
      </c>
      <c r="I12" s="508"/>
      <c r="J12" s="509"/>
      <c r="K12" s="19"/>
      <c r="L12" s="509"/>
      <c r="M12" s="51">
        <v>2</v>
      </c>
      <c r="N12" s="487" t="s">
        <v>1387</v>
      </c>
      <c r="O12" s="508"/>
      <c r="P12" s="509"/>
      <c r="Q12" s="23"/>
      <c r="R12" s="509"/>
      <c r="S12" s="51">
        <v>2</v>
      </c>
      <c r="T12" s="487" t="s">
        <v>1387</v>
      </c>
      <c r="U12" s="508"/>
      <c r="V12" s="509"/>
      <c r="W12" s="23"/>
      <c r="X12" s="509"/>
      <c r="Y12" s="51">
        <v>2</v>
      </c>
      <c r="Z12" s="487" t="s">
        <v>1387</v>
      </c>
      <c r="AA12" s="508"/>
      <c r="AB12" s="509"/>
      <c r="AC12" s="23"/>
      <c r="AD12" s="509"/>
      <c r="AE12" s="506"/>
    </row>
    <row r="13" spans="1:31" ht="16.2" customHeight="1">
      <c r="A13" s="51">
        <v>3</v>
      </c>
      <c r="B13" s="51">
        <v>72009</v>
      </c>
      <c r="C13" s="441" t="s">
        <v>289</v>
      </c>
      <c r="D13" s="148">
        <v>1000</v>
      </c>
      <c r="E13" s="511"/>
      <c r="F13" s="404"/>
      <c r="G13" s="51">
        <v>3</v>
      </c>
      <c r="H13" s="51"/>
      <c r="I13" s="386"/>
      <c r="J13" s="446"/>
      <c r="K13" s="137"/>
      <c r="L13" s="404"/>
      <c r="M13" s="51">
        <v>3</v>
      </c>
      <c r="N13" s="51">
        <v>75015</v>
      </c>
      <c r="O13" s="386" t="s">
        <v>291</v>
      </c>
      <c r="P13" s="143">
        <v>2000</v>
      </c>
      <c r="Q13" s="511"/>
      <c r="R13" s="404"/>
      <c r="S13" s="51">
        <v>3</v>
      </c>
      <c r="T13" s="51">
        <v>74011</v>
      </c>
      <c r="U13" s="386" t="s">
        <v>293</v>
      </c>
      <c r="V13" s="143">
        <v>1050</v>
      </c>
      <c r="W13" s="511"/>
      <c r="X13" s="404"/>
      <c r="Y13" s="51">
        <v>3</v>
      </c>
      <c r="Z13" s="51"/>
      <c r="AA13" s="512"/>
      <c r="AB13" s="139"/>
      <c r="AC13" s="511"/>
      <c r="AD13" s="129"/>
      <c r="AE13" s="513"/>
    </row>
    <row r="14" spans="1:31" ht="16.2" customHeight="1">
      <c r="A14" s="51">
        <v>3</v>
      </c>
      <c r="B14" s="51">
        <v>72011</v>
      </c>
      <c r="C14" s="386" t="s">
        <v>1230</v>
      </c>
      <c r="D14" s="143">
        <v>3950</v>
      </c>
      <c r="E14" s="515"/>
      <c r="F14" s="405"/>
      <c r="G14" s="51">
        <v>3</v>
      </c>
      <c r="H14" s="51"/>
      <c r="I14" s="386"/>
      <c r="J14" s="446"/>
      <c r="K14" s="137"/>
      <c r="L14" s="405"/>
      <c r="M14" s="51">
        <v>3</v>
      </c>
      <c r="N14" s="51">
        <v>75017</v>
      </c>
      <c r="O14" s="386" t="s">
        <v>292</v>
      </c>
      <c r="P14" s="143">
        <v>1400</v>
      </c>
      <c r="Q14" s="515"/>
      <c r="R14" s="405"/>
      <c r="S14" s="51">
        <v>3</v>
      </c>
      <c r="T14" s="51">
        <v>74013</v>
      </c>
      <c r="U14" s="386" t="s">
        <v>290</v>
      </c>
      <c r="V14" s="143">
        <v>1000</v>
      </c>
      <c r="W14" s="515"/>
      <c r="X14" s="405"/>
      <c r="Y14" s="51">
        <v>3</v>
      </c>
      <c r="Z14" s="51"/>
      <c r="AA14" s="512"/>
      <c r="AB14" s="139"/>
      <c r="AC14" s="515"/>
      <c r="AD14" s="132"/>
      <c r="AE14" s="516"/>
    </row>
    <row r="15" spans="1:31" ht="16.2" customHeight="1">
      <c r="A15" s="51">
        <v>3</v>
      </c>
      <c r="B15" s="51"/>
      <c r="C15" s="512"/>
      <c r="D15" s="139"/>
      <c r="E15" s="146"/>
      <c r="F15" s="132"/>
      <c r="G15" s="51">
        <v>3</v>
      </c>
      <c r="H15" s="51"/>
      <c r="I15" s="386"/>
      <c r="J15" s="143"/>
      <c r="K15" s="137"/>
      <c r="L15" s="132"/>
      <c r="M15" s="51">
        <v>3</v>
      </c>
      <c r="N15" s="51">
        <v>75019</v>
      </c>
      <c r="O15" s="386" t="s">
        <v>293</v>
      </c>
      <c r="P15" s="143">
        <v>550</v>
      </c>
      <c r="Q15" s="515"/>
      <c r="R15" s="405"/>
      <c r="S15" s="51">
        <v>3</v>
      </c>
      <c r="T15" s="51">
        <v>74015</v>
      </c>
      <c r="U15" s="386" t="s">
        <v>295</v>
      </c>
      <c r="V15" s="143">
        <v>1800</v>
      </c>
      <c r="W15" s="515"/>
      <c r="X15" s="405"/>
      <c r="Y15" s="51">
        <v>3</v>
      </c>
      <c r="Z15" s="51"/>
      <c r="AA15" s="512"/>
      <c r="AB15" s="139"/>
      <c r="AC15" s="515"/>
      <c r="AD15" s="132"/>
      <c r="AE15" s="516"/>
    </row>
    <row r="16" spans="1:31" ht="16.2" customHeight="1">
      <c r="A16" s="51">
        <v>3</v>
      </c>
      <c r="B16" s="51"/>
      <c r="C16" s="512"/>
      <c r="D16" s="139"/>
      <c r="E16" s="515"/>
      <c r="F16" s="132"/>
      <c r="G16" s="51">
        <v>3</v>
      </c>
      <c r="H16" s="51"/>
      <c r="I16" s="512"/>
      <c r="J16" s="139"/>
      <c r="K16" s="137"/>
      <c r="L16" s="132"/>
      <c r="M16" s="51">
        <v>3</v>
      </c>
      <c r="N16" s="51">
        <v>75021</v>
      </c>
      <c r="O16" s="386" t="s">
        <v>294</v>
      </c>
      <c r="P16" s="143">
        <v>500</v>
      </c>
      <c r="Q16" s="515"/>
      <c r="R16" s="405"/>
      <c r="S16" s="51">
        <v>3</v>
      </c>
      <c r="T16" s="51"/>
      <c r="U16" s="512"/>
      <c r="V16" s="139"/>
      <c r="W16" s="515"/>
      <c r="X16" s="132"/>
      <c r="Y16" s="51">
        <v>3</v>
      </c>
      <c r="Z16" s="51"/>
      <c r="AA16" s="512"/>
      <c r="AB16" s="139"/>
      <c r="AC16" s="515"/>
      <c r="AD16" s="132"/>
      <c r="AE16" s="516"/>
    </row>
    <row r="17" spans="1:31" ht="16.2" customHeight="1" thickBot="1">
      <c r="A17" s="51">
        <v>3</v>
      </c>
      <c r="B17" s="51"/>
      <c r="C17" s="512"/>
      <c r="D17" s="139"/>
      <c r="E17" s="515"/>
      <c r="F17" s="132"/>
      <c r="G17" s="51">
        <v>3</v>
      </c>
      <c r="H17" s="51"/>
      <c r="I17" s="512"/>
      <c r="J17" s="139"/>
      <c r="K17" s="137"/>
      <c r="L17" s="132"/>
      <c r="M17" s="51">
        <v>3</v>
      </c>
      <c r="N17" s="51"/>
      <c r="O17" s="512"/>
      <c r="P17" s="139"/>
      <c r="Q17" s="515"/>
      <c r="R17" s="132"/>
      <c r="S17" s="51">
        <v>3</v>
      </c>
      <c r="T17" s="51"/>
      <c r="U17" s="512"/>
      <c r="V17" s="139"/>
      <c r="W17" s="515"/>
      <c r="X17" s="132"/>
      <c r="Y17" s="51">
        <v>3</v>
      </c>
      <c r="Z17" s="51"/>
      <c r="AA17" s="512"/>
      <c r="AB17" s="139"/>
      <c r="AC17" s="515"/>
      <c r="AD17" s="132"/>
      <c r="AE17" s="516"/>
    </row>
    <row r="18" spans="1:31" ht="16.2" customHeight="1" thickTop="1">
      <c r="A18" s="51">
        <v>4</v>
      </c>
      <c r="B18" s="51"/>
      <c r="C18" s="523" t="s">
        <v>242</v>
      </c>
      <c r="D18" s="27">
        <f xml:space="preserve"> SUM(D13:D17)</f>
        <v>4950</v>
      </c>
      <c r="E18" s="522"/>
      <c r="F18" s="75">
        <f>SUM(F13:F17)</f>
        <v>0</v>
      </c>
      <c r="G18" s="51">
        <v>4</v>
      </c>
      <c r="H18" s="51"/>
      <c r="I18" s="523" t="s">
        <v>242</v>
      </c>
      <c r="J18" s="27">
        <f xml:space="preserve"> SUM(J13:J17)</f>
        <v>0</v>
      </c>
      <c r="K18" s="28"/>
      <c r="L18" s="75">
        <f>SUM(L13:L17)</f>
        <v>0</v>
      </c>
      <c r="M18" s="51">
        <v>4</v>
      </c>
      <c r="N18" s="51"/>
      <c r="O18" s="523" t="s">
        <v>273</v>
      </c>
      <c r="P18" s="27">
        <f>SUM(P13:P17)</f>
        <v>4450</v>
      </c>
      <c r="Q18" s="522"/>
      <c r="R18" s="75">
        <f>SUM(R13:R17)</f>
        <v>0</v>
      </c>
      <c r="S18" s="51">
        <v>4</v>
      </c>
      <c r="T18" s="51"/>
      <c r="U18" s="523" t="s">
        <v>273</v>
      </c>
      <c r="V18" s="27">
        <f>SUM(V13:V17)</f>
        <v>3850</v>
      </c>
      <c r="W18" s="522"/>
      <c r="X18" s="75">
        <f>SUM(X13:X17)</f>
        <v>0</v>
      </c>
      <c r="Y18" s="51">
        <v>4</v>
      </c>
      <c r="Z18" s="51"/>
      <c r="AA18" s="523" t="s">
        <v>273</v>
      </c>
      <c r="AB18" s="27">
        <f>SUM(AB13:AB17)</f>
        <v>0</v>
      </c>
      <c r="AC18" s="522"/>
      <c r="AD18" s="75">
        <f>SUM(AD13:AD17)</f>
        <v>0</v>
      </c>
      <c r="AE18" s="524">
        <f>D18+J18+P18+V18+AB18</f>
        <v>13250</v>
      </c>
    </row>
    <row r="19" spans="1:31" ht="16.2" customHeight="1">
      <c r="A19" s="51"/>
      <c r="B19" s="51"/>
      <c r="C19" s="526"/>
      <c r="D19" s="210"/>
      <c r="E19" s="526"/>
      <c r="F19" s="526"/>
      <c r="G19" s="51"/>
      <c r="H19" s="51"/>
      <c r="I19" s="526"/>
      <c r="J19" s="210"/>
      <c r="K19" s="216"/>
      <c r="L19" s="526"/>
      <c r="M19" s="51"/>
      <c r="N19" s="51"/>
      <c r="O19" s="526"/>
      <c r="P19" s="210"/>
      <c r="Q19" s="526"/>
      <c r="R19" s="526"/>
      <c r="S19" s="51"/>
      <c r="T19" s="51"/>
      <c r="U19" s="526"/>
      <c r="V19" s="210"/>
      <c r="W19" s="526"/>
      <c r="X19" s="526"/>
      <c r="Y19" s="51"/>
      <c r="Z19" s="51"/>
      <c r="AA19" s="526"/>
      <c r="AB19" s="210"/>
      <c r="AC19" s="13"/>
      <c r="AD19" s="728" t="s">
        <v>244</v>
      </c>
      <c r="AE19" s="93">
        <f>A大阪市西淀川区折込部数+M大阪市西淀川区折込部数+S大阪市西淀川区折込部数+Y大阪市西淀川区折込部数+AD18</f>
        <v>0</v>
      </c>
    </row>
    <row r="20" spans="1:31" ht="16.2" customHeight="1">
      <c r="A20" s="51">
        <v>2</v>
      </c>
      <c r="B20" s="487" t="s">
        <v>1388</v>
      </c>
      <c r="C20" s="45" t="s">
        <v>296</v>
      </c>
      <c r="D20" s="12"/>
      <c r="E20" s="11"/>
      <c r="F20" s="11"/>
      <c r="G20" s="51">
        <v>2</v>
      </c>
      <c r="H20" s="487" t="s">
        <v>1388</v>
      </c>
      <c r="I20" s="464"/>
      <c r="J20" s="211"/>
      <c r="K20" s="212"/>
      <c r="L20" s="464"/>
      <c r="M20" s="51">
        <v>2</v>
      </c>
      <c r="N20" s="487" t="s">
        <v>1388</v>
      </c>
      <c r="O20" s="464"/>
      <c r="P20" s="211"/>
      <c r="Q20" s="464"/>
      <c r="R20" s="464"/>
      <c r="S20" s="51">
        <v>2</v>
      </c>
      <c r="T20" s="487" t="s">
        <v>1388</v>
      </c>
      <c r="U20" s="464"/>
      <c r="V20" s="211"/>
      <c r="W20" s="464"/>
      <c r="X20" s="464"/>
      <c r="Y20" s="51">
        <v>2</v>
      </c>
      <c r="Z20" s="487" t="s">
        <v>1388</v>
      </c>
      <c r="AA20" s="464"/>
      <c r="AB20" s="211"/>
      <c r="AC20" s="11"/>
      <c r="AD20" s="11"/>
    </row>
    <row r="21" spans="1:31" ht="16.2" customHeight="1">
      <c r="A21" s="51">
        <v>3</v>
      </c>
      <c r="B21" s="51">
        <v>72019</v>
      </c>
      <c r="C21" s="386" t="s">
        <v>214</v>
      </c>
      <c r="D21" s="446">
        <v>1600</v>
      </c>
      <c r="E21" s="511"/>
      <c r="F21" s="404"/>
      <c r="G21" s="51">
        <v>3</v>
      </c>
      <c r="H21" s="51">
        <v>73019</v>
      </c>
      <c r="I21" s="386" t="s">
        <v>1276</v>
      </c>
      <c r="J21" s="143">
        <v>550</v>
      </c>
      <c r="K21" s="136"/>
      <c r="L21" s="404"/>
      <c r="M21" s="51">
        <v>3</v>
      </c>
      <c r="N21" s="51">
        <v>75023</v>
      </c>
      <c r="O21" s="386" t="s">
        <v>226</v>
      </c>
      <c r="P21" s="143">
        <v>500</v>
      </c>
      <c r="Q21" s="511"/>
      <c r="R21" s="404"/>
      <c r="S21" s="51">
        <v>3</v>
      </c>
      <c r="T21" s="51">
        <v>74017</v>
      </c>
      <c r="U21" s="386" t="s">
        <v>1069</v>
      </c>
      <c r="V21" s="143">
        <v>950</v>
      </c>
      <c r="W21" s="511"/>
      <c r="X21" s="404"/>
      <c r="Y21" s="51">
        <v>3</v>
      </c>
      <c r="Z21" s="51"/>
      <c r="AA21" s="512"/>
      <c r="AB21" s="139"/>
      <c r="AC21" s="511"/>
      <c r="AD21" s="129"/>
      <c r="AE21" s="513"/>
    </row>
    <row r="22" spans="1:31" ht="16.2" customHeight="1">
      <c r="A22" s="51">
        <v>3</v>
      </c>
      <c r="B22" s="51">
        <v>72021</v>
      </c>
      <c r="C22" s="386" t="s">
        <v>215</v>
      </c>
      <c r="D22" s="446">
        <v>1500</v>
      </c>
      <c r="E22" s="515"/>
      <c r="F22" s="405"/>
      <c r="G22" s="51">
        <v>3</v>
      </c>
      <c r="H22" s="51">
        <v>73021</v>
      </c>
      <c r="I22" s="386" t="s">
        <v>1247</v>
      </c>
      <c r="J22" s="143">
        <v>1100</v>
      </c>
      <c r="K22" s="137"/>
      <c r="L22" s="405"/>
      <c r="M22" s="51">
        <v>3</v>
      </c>
      <c r="N22" s="51">
        <v>75025</v>
      </c>
      <c r="O22" s="386" t="s">
        <v>224</v>
      </c>
      <c r="P22" s="143">
        <v>600</v>
      </c>
      <c r="Q22" s="515"/>
      <c r="R22" s="405"/>
      <c r="S22" s="51">
        <v>3</v>
      </c>
      <c r="T22" s="51">
        <v>74019</v>
      </c>
      <c r="U22" s="386" t="s">
        <v>215</v>
      </c>
      <c r="V22" s="143">
        <v>2650</v>
      </c>
      <c r="W22" s="515"/>
      <c r="X22" s="405"/>
      <c r="Y22" s="51">
        <v>3</v>
      </c>
      <c r="Z22" s="51"/>
      <c r="AA22" s="512"/>
      <c r="AB22" s="139"/>
      <c r="AC22" s="515"/>
      <c r="AD22" s="132"/>
      <c r="AE22" s="516"/>
    </row>
    <row r="23" spans="1:31" ht="16.2" customHeight="1">
      <c r="A23" s="51">
        <v>3</v>
      </c>
      <c r="B23" s="51">
        <v>72023</v>
      </c>
      <c r="C23" s="386" t="s">
        <v>224</v>
      </c>
      <c r="D23" s="446">
        <v>700</v>
      </c>
      <c r="E23" s="515"/>
      <c r="F23" s="405"/>
      <c r="G23" s="51">
        <v>3</v>
      </c>
      <c r="H23" s="51">
        <v>73023</v>
      </c>
      <c r="I23" s="393" t="s">
        <v>1278</v>
      </c>
      <c r="J23" s="351">
        <v>1000</v>
      </c>
      <c r="K23" s="137"/>
      <c r="L23" s="405"/>
      <c r="M23" s="51">
        <v>3</v>
      </c>
      <c r="N23" s="51">
        <v>75027</v>
      </c>
      <c r="O23" s="386" t="s">
        <v>215</v>
      </c>
      <c r="P23" s="143">
        <v>1300</v>
      </c>
      <c r="Q23" s="515"/>
      <c r="R23" s="405"/>
      <c r="S23" s="51">
        <v>3</v>
      </c>
      <c r="T23" s="51">
        <v>74021</v>
      </c>
      <c r="U23" s="386" t="s">
        <v>297</v>
      </c>
      <c r="V23" s="143">
        <v>3000</v>
      </c>
      <c r="W23" s="515"/>
      <c r="X23" s="405"/>
      <c r="Y23" s="51">
        <v>3</v>
      </c>
      <c r="Z23" s="51"/>
      <c r="AA23" s="512"/>
      <c r="AB23" s="139"/>
      <c r="AC23" s="515"/>
      <c r="AD23" s="132"/>
      <c r="AE23" s="516"/>
    </row>
    <row r="24" spans="1:31" ht="16.2" customHeight="1">
      <c r="A24" s="51">
        <v>3</v>
      </c>
      <c r="B24" s="51"/>
      <c r="C24" s="386"/>
      <c r="D24" s="143"/>
      <c r="E24" s="515"/>
      <c r="F24" s="405"/>
      <c r="G24" s="51">
        <v>3</v>
      </c>
      <c r="H24" s="51">
        <v>73025</v>
      </c>
      <c r="I24" s="386" t="s">
        <v>1093</v>
      </c>
      <c r="J24" s="351">
        <v>1500</v>
      </c>
      <c r="K24" s="137"/>
      <c r="L24" s="405"/>
      <c r="M24" s="51">
        <v>3</v>
      </c>
      <c r="N24" s="51">
        <v>75029</v>
      </c>
      <c r="O24" s="386" t="s">
        <v>225</v>
      </c>
      <c r="P24" s="143">
        <v>500</v>
      </c>
      <c r="Q24" s="515"/>
      <c r="R24" s="405"/>
      <c r="S24" s="51">
        <v>3</v>
      </c>
      <c r="T24" s="51">
        <v>74023</v>
      </c>
      <c r="U24" s="386" t="s">
        <v>214</v>
      </c>
      <c r="V24" s="143">
        <v>1450</v>
      </c>
      <c r="W24" s="515"/>
      <c r="X24" s="405"/>
      <c r="Y24" s="51">
        <v>3</v>
      </c>
      <c r="Z24" s="51"/>
      <c r="AA24" s="512"/>
      <c r="AB24" s="139"/>
      <c r="AC24" s="515"/>
      <c r="AD24" s="132" t="s">
        <v>303</v>
      </c>
      <c r="AE24" s="516" t="s">
        <v>303</v>
      </c>
    </row>
    <row r="25" spans="1:31" ht="16.2" customHeight="1">
      <c r="A25" s="51">
        <v>3</v>
      </c>
      <c r="B25" s="51"/>
      <c r="C25" s="386"/>
      <c r="D25" s="143"/>
      <c r="E25" s="515"/>
      <c r="F25" s="405"/>
      <c r="G25" s="51">
        <v>3</v>
      </c>
      <c r="H25" s="51"/>
      <c r="I25" s="386"/>
      <c r="J25" s="351"/>
      <c r="K25" s="137"/>
      <c r="L25" s="474"/>
      <c r="M25" s="51">
        <v>3</v>
      </c>
      <c r="N25" s="51">
        <v>75031</v>
      </c>
      <c r="O25" s="386" t="s">
        <v>1563</v>
      </c>
      <c r="P25" s="143">
        <v>650</v>
      </c>
      <c r="Q25" s="515"/>
      <c r="R25" s="405"/>
      <c r="S25" s="51">
        <v>3</v>
      </c>
      <c r="T25" s="51"/>
      <c r="U25" s="386"/>
      <c r="V25" s="143"/>
      <c r="W25" s="515"/>
      <c r="X25" s="405"/>
      <c r="Y25" s="51">
        <v>3</v>
      </c>
      <c r="Z25" s="51"/>
      <c r="AA25" s="512"/>
      <c r="AB25" s="139"/>
      <c r="AC25" s="515"/>
      <c r="AD25" s="132"/>
      <c r="AE25" s="516"/>
    </row>
    <row r="26" spans="1:31" ht="16.2" customHeight="1">
      <c r="A26" s="51">
        <v>3</v>
      </c>
      <c r="B26" s="51"/>
      <c r="C26" s="386"/>
      <c r="D26" s="143"/>
      <c r="E26" s="515"/>
      <c r="F26" s="405"/>
      <c r="G26" s="51">
        <v>3</v>
      </c>
      <c r="H26" s="51"/>
      <c r="I26" s="512"/>
      <c r="J26" s="214"/>
      <c r="K26" s="137"/>
      <c r="L26" s="147"/>
      <c r="M26" s="51">
        <v>3</v>
      </c>
      <c r="N26" s="51"/>
      <c r="O26" s="545"/>
      <c r="P26" s="139"/>
      <c r="Q26" s="515"/>
      <c r="R26" s="132"/>
      <c r="S26" s="51">
        <v>3</v>
      </c>
      <c r="T26" s="51"/>
      <c r="U26" s="512"/>
      <c r="V26" s="139"/>
      <c r="W26" s="515"/>
      <c r="X26" s="132"/>
      <c r="Y26" s="51">
        <v>3</v>
      </c>
      <c r="Z26" s="51"/>
      <c r="AA26" s="512"/>
      <c r="AB26" s="139"/>
      <c r="AC26" s="515"/>
      <c r="AD26" s="132"/>
      <c r="AE26" s="516"/>
    </row>
    <row r="27" spans="1:31" ht="16.2" customHeight="1" thickBot="1">
      <c r="A27" s="51">
        <v>3</v>
      </c>
      <c r="B27" s="51"/>
      <c r="C27" s="512"/>
      <c r="D27" s="139"/>
      <c r="E27" s="515"/>
      <c r="F27" s="132"/>
      <c r="G27" s="51">
        <v>3</v>
      </c>
      <c r="H27" s="51"/>
      <c r="I27" s="512"/>
      <c r="J27" s="214"/>
      <c r="K27" s="137"/>
      <c r="L27" s="147"/>
      <c r="M27" s="51">
        <v>3</v>
      </c>
      <c r="N27" s="51"/>
      <c r="O27" s="545"/>
      <c r="P27" s="139"/>
      <c r="Q27" s="515"/>
      <c r="R27" s="132"/>
      <c r="S27" s="51">
        <v>3</v>
      </c>
      <c r="T27" s="51"/>
      <c r="U27" s="512"/>
      <c r="V27" s="139"/>
      <c r="W27" s="515"/>
      <c r="X27" s="132"/>
      <c r="Y27" s="51">
        <v>3</v>
      </c>
      <c r="Z27" s="51"/>
      <c r="AA27" s="512"/>
      <c r="AB27" s="139"/>
      <c r="AC27" s="515"/>
      <c r="AD27" s="132"/>
      <c r="AE27" s="516"/>
    </row>
    <row r="28" spans="1:31" ht="16.2" customHeight="1" thickTop="1">
      <c r="A28" s="51">
        <v>4</v>
      </c>
      <c r="B28" s="51"/>
      <c r="C28" s="523" t="s">
        <v>242</v>
      </c>
      <c r="D28" s="535">
        <f>SUM(D21:D27)</f>
        <v>3800</v>
      </c>
      <c r="E28" s="522"/>
      <c r="F28" s="75">
        <f>SUM(F21:F27)</f>
        <v>0</v>
      </c>
      <c r="G28" s="51">
        <v>4</v>
      </c>
      <c r="H28" s="51"/>
      <c r="I28" s="523" t="s">
        <v>271</v>
      </c>
      <c r="J28" s="535">
        <f xml:space="preserve"> SUM(J21:J27)</f>
        <v>4150</v>
      </c>
      <c r="K28" s="28"/>
      <c r="L28" s="127">
        <f>SUM(L21:L27)</f>
        <v>0</v>
      </c>
      <c r="M28" s="51">
        <v>4</v>
      </c>
      <c r="N28" s="51"/>
      <c r="O28" s="523" t="s">
        <v>271</v>
      </c>
      <c r="P28" s="535">
        <f xml:space="preserve"> SUM(P21:P27)</f>
        <v>3550</v>
      </c>
      <c r="Q28" s="522"/>
      <c r="R28" s="75">
        <f>SUM(R21:R27)</f>
        <v>0</v>
      </c>
      <c r="S28" s="51">
        <v>4</v>
      </c>
      <c r="T28" s="51"/>
      <c r="U28" s="523" t="s">
        <v>271</v>
      </c>
      <c r="V28" s="27">
        <f xml:space="preserve"> SUM(V21:V27)</f>
        <v>8050</v>
      </c>
      <c r="W28" s="522"/>
      <c r="X28" s="75">
        <f>SUM(X21:X27)</f>
        <v>0</v>
      </c>
      <c r="Y28" s="51">
        <v>4</v>
      </c>
      <c r="Z28" s="51"/>
      <c r="AA28" s="523" t="s">
        <v>271</v>
      </c>
      <c r="AB28" s="27">
        <f xml:space="preserve"> SUM(AB21:AB27)</f>
        <v>0</v>
      </c>
      <c r="AC28" s="522"/>
      <c r="AD28" s="75">
        <f>SUM(AD21:AD27)</f>
        <v>0</v>
      </c>
      <c r="AE28" s="524">
        <f>D28+J28+P28+V28+AB28</f>
        <v>19550</v>
      </c>
    </row>
    <row r="29" spans="1:31" ht="16.2" customHeight="1">
      <c r="A29" s="51"/>
      <c r="B29" s="51"/>
      <c r="C29" s="18"/>
      <c r="D29" s="20"/>
      <c r="F29" s="489"/>
      <c r="G29" s="51"/>
      <c r="H29" s="51"/>
      <c r="I29" s="526"/>
      <c r="J29" s="526"/>
      <c r="K29" s="526"/>
      <c r="L29" s="526"/>
      <c r="M29" s="51"/>
      <c r="N29" s="51"/>
      <c r="O29" s="526"/>
      <c r="P29" s="213"/>
      <c r="Q29" s="489"/>
      <c r="R29" s="489"/>
      <c r="S29" s="51"/>
      <c r="T29" s="51"/>
      <c r="U29" s="538">
        <v>0</v>
      </c>
      <c r="V29" s="213"/>
      <c r="W29" s="489"/>
      <c r="X29" s="489"/>
      <c r="Y29" s="51"/>
      <c r="Z29" s="51"/>
      <c r="AA29" s="537"/>
      <c r="AB29" s="213"/>
      <c r="AD29" s="527" t="s">
        <v>326</v>
      </c>
      <c r="AE29" s="93">
        <f>A大阪市淀川区折込部数+M大阪市淀川区折込部数+S大阪市淀川区折込部数+Y大阪市淀川区折込部数+AD28</f>
        <v>0</v>
      </c>
    </row>
    <row r="30" spans="1:31" ht="16.2" customHeight="1">
      <c r="A30" s="51">
        <v>2</v>
      </c>
      <c r="B30" s="487" t="s">
        <v>1389</v>
      </c>
      <c r="C30" s="46" t="s">
        <v>227</v>
      </c>
      <c r="D30" s="30" ph="1"/>
      <c r="E30" s="24"/>
      <c r="F30" s="506"/>
      <c r="G30" s="51">
        <v>2</v>
      </c>
      <c r="H30" s="487" t="s">
        <v>1389</v>
      </c>
      <c r="I30" s="508"/>
      <c r="J30" s="509"/>
      <c r="K30" s="23"/>
      <c r="L30" s="509"/>
      <c r="M30" s="51">
        <v>2</v>
      </c>
      <c r="N30" s="487" t="s">
        <v>1389</v>
      </c>
      <c r="O30" s="508"/>
      <c r="P30" s="509"/>
      <c r="Q30" s="23"/>
      <c r="R30" s="509"/>
      <c r="S30" s="51">
        <v>2</v>
      </c>
      <c r="T30" s="487" t="s">
        <v>1389</v>
      </c>
      <c r="U30" s="508"/>
      <c r="V30" s="509"/>
      <c r="W30" s="23"/>
      <c r="X30" s="509"/>
      <c r="Y30" s="51">
        <v>2</v>
      </c>
      <c r="Z30" s="487" t="s">
        <v>1389</v>
      </c>
      <c r="AA30" s="508"/>
      <c r="AB30" s="509"/>
      <c r="AC30" s="23"/>
      <c r="AD30" s="509"/>
      <c r="AE30" s="506"/>
    </row>
    <row r="31" spans="1:31" ht="16.2" customHeight="1">
      <c r="A31" s="51">
        <v>3</v>
      </c>
      <c r="B31" s="51">
        <v>72025</v>
      </c>
      <c r="C31" s="441" t="s">
        <v>228</v>
      </c>
      <c r="D31" s="148">
        <v>1650</v>
      </c>
      <c r="E31" s="511"/>
      <c r="F31" s="404"/>
      <c r="G31" s="51">
        <v>3</v>
      </c>
      <c r="H31" s="51">
        <v>73027</v>
      </c>
      <c r="I31" s="386" t="s">
        <v>1311</v>
      </c>
      <c r="J31" s="143">
        <v>2200</v>
      </c>
      <c r="K31" s="511"/>
      <c r="L31" s="404"/>
      <c r="M31" s="51">
        <v>3</v>
      </c>
      <c r="N31" s="51">
        <v>75033</v>
      </c>
      <c r="O31" s="441" t="s">
        <v>2</v>
      </c>
      <c r="P31" s="148">
        <v>950</v>
      </c>
      <c r="Q31" s="511"/>
      <c r="R31" s="404"/>
      <c r="S31" s="51">
        <v>3</v>
      </c>
      <c r="T31" s="51">
        <v>74025</v>
      </c>
      <c r="U31" s="386" t="s">
        <v>1619</v>
      </c>
      <c r="V31" s="148">
        <v>3300</v>
      </c>
      <c r="W31" s="511"/>
      <c r="X31" s="404"/>
      <c r="Y31" s="51">
        <v>3</v>
      </c>
      <c r="Z31" s="51"/>
      <c r="AA31" s="703"/>
      <c r="AB31" s="215"/>
      <c r="AC31" s="511"/>
      <c r="AD31" s="129"/>
      <c r="AE31" s="513"/>
    </row>
    <row r="32" spans="1:31" ht="16.2" customHeight="1">
      <c r="A32" s="51">
        <v>3</v>
      </c>
      <c r="B32" s="51">
        <v>72027</v>
      </c>
      <c r="C32" s="386" t="s">
        <v>1480</v>
      </c>
      <c r="D32" s="143">
        <v>4000</v>
      </c>
      <c r="E32" s="515"/>
      <c r="F32" s="405"/>
      <c r="G32" s="51">
        <v>3</v>
      </c>
      <c r="H32" s="51">
        <v>73029</v>
      </c>
      <c r="I32" s="386" t="s">
        <v>813</v>
      </c>
      <c r="J32" s="143">
        <v>1050</v>
      </c>
      <c r="K32" s="515"/>
      <c r="L32" s="405"/>
      <c r="M32" s="51">
        <v>3</v>
      </c>
      <c r="N32" s="51">
        <v>75035</v>
      </c>
      <c r="O32" s="386" t="s">
        <v>1</v>
      </c>
      <c r="P32" s="143">
        <v>650</v>
      </c>
      <c r="Q32" s="515"/>
      <c r="R32" s="405"/>
      <c r="S32" s="51">
        <v>3</v>
      </c>
      <c r="T32" s="51">
        <v>74027</v>
      </c>
      <c r="U32" s="386" t="s">
        <v>2</v>
      </c>
      <c r="V32" s="143">
        <v>1300</v>
      </c>
      <c r="W32" s="515"/>
      <c r="X32" s="405"/>
      <c r="Y32" s="51">
        <v>3</v>
      </c>
      <c r="Z32" s="51"/>
      <c r="AA32" s="512"/>
      <c r="AB32" s="139"/>
      <c r="AC32" s="515"/>
      <c r="AD32" s="132"/>
      <c r="AE32" s="516"/>
    </row>
    <row r="33" spans="1:31" ht="16.2" customHeight="1">
      <c r="A33" s="51">
        <v>3</v>
      </c>
      <c r="B33" s="51"/>
      <c r="C33" s="386"/>
      <c r="D33" s="446"/>
      <c r="E33" s="515"/>
      <c r="F33" s="405"/>
      <c r="G33" s="51">
        <v>3</v>
      </c>
      <c r="H33" s="51">
        <v>73031</v>
      </c>
      <c r="I33" s="386" t="s">
        <v>2</v>
      </c>
      <c r="J33" s="143">
        <v>1100</v>
      </c>
      <c r="K33" s="515"/>
      <c r="L33" s="405"/>
      <c r="M33" s="51">
        <v>3</v>
      </c>
      <c r="N33" s="51">
        <v>75037</v>
      </c>
      <c r="O33" s="386" t="s">
        <v>228</v>
      </c>
      <c r="P33" s="143">
        <v>450</v>
      </c>
      <c r="Q33" s="515"/>
      <c r="R33" s="405"/>
      <c r="S33" s="51">
        <v>3</v>
      </c>
      <c r="T33" s="51">
        <v>74029</v>
      </c>
      <c r="U33" s="386" t="s">
        <v>228</v>
      </c>
      <c r="V33" s="446" t="s">
        <v>1618</v>
      </c>
      <c r="W33" s="515"/>
      <c r="X33" s="405"/>
      <c r="Y33" s="51">
        <v>3</v>
      </c>
      <c r="Z33" s="51"/>
      <c r="AA33" s="512"/>
      <c r="AB33" s="139"/>
      <c r="AC33" s="515"/>
      <c r="AD33" s="132"/>
      <c r="AE33" s="516"/>
    </row>
    <row r="34" spans="1:31" ht="16.2" customHeight="1">
      <c r="A34" s="51">
        <v>3</v>
      </c>
      <c r="B34" s="51"/>
      <c r="C34" s="386"/>
      <c r="D34" s="143"/>
      <c r="E34" s="515"/>
      <c r="F34" s="132"/>
      <c r="G34" s="51">
        <v>3</v>
      </c>
      <c r="H34" s="51"/>
      <c r="I34" s="386"/>
      <c r="J34" s="143"/>
      <c r="K34" s="515"/>
      <c r="L34" s="405"/>
      <c r="M34" s="51">
        <v>3</v>
      </c>
      <c r="N34" s="51">
        <v>75039</v>
      </c>
      <c r="O34" s="386" t="s">
        <v>5</v>
      </c>
      <c r="P34" s="143">
        <v>1200</v>
      </c>
      <c r="Q34" s="515"/>
      <c r="R34" s="405"/>
      <c r="S34" s="51">
        <v>3</v>
      </c>
      <c r="T34" s="51">
        <v>74031</v>
      </c>
      <c r="U34" s="386" t="s">
        <v>3</v>
      </c>
      <c r="V34" s="143">
        <v>1000</v>
      </c>
      <c r="W34" s="515"/>
      <c r="X34" s="405"/>
      <c r="Y34" s="51">
        <v>3</v>
      </c>
      <c r="Z34" s="51"/>
      <c r="AA34" s="512"/>
      <c r="AB34" s="139"/>
      <c r="AC34" s="515"/>
      <c r="AD34" s="132"/>
      <c r="AE34" s="516"/>
    </row>
    <row r="35" spans="1:31" ht="16.2" customHeight="1">
      <c r="A35" s="51">
        <v>3</v>
      </c>
      <c r="B35" s="51"/>
      <c r="C35" s="512"/>
      <c r="D35" s="139"/>
      <c r="E35" s="515"/>
      <c r="F35" s="132"/>
      <c r="G35" s="51">
        <v>3</v>
      </c>
      <c r="H35" s="51"/>
      <c r="I35" s="512"/>
      <c r="J35" s="139"/>
      <c r="K35" s="515"/>
      <c r="L35" s="132"/>
      <c r="M35" s="51">
        <v>3</v>
      </c>
      <c r="N35" s="51">
        <v>75041</v>
      </c>
      <c r="O35" s="386" t="s">
        <v>6</v>
      </c>
      <c r="P35" s="143">
        <v>600</v>
      </c>
      <c r="Q35" s="515"/>
      <c r="R35" s="405"/>
      <c r="S35" s="51">
        <v>3</v>
      </c>
      <c r="T35" s="51">
        <v>74033</v>
      </c>
      <c r="U35" s="386" t="s">
        <v>4</v>
      </c>
      <c r="V35" s="143">
        <v>1900</v>
      </c>
      <c r="W35" s="515"/>
      <c r="X35" s="405"/>
      <c r="Y35" s="51">
        <v>3</v>
      </c>
      <c r="Z35" s="51"/>
      <c r="AA35" s="512"/>
      <c r="AB35" s="139"/>
      <c r="AC35" s="515"/>
      <c r="AD35" s="132"/>
      <c r="AE35" s="516"/>
    </row>
    <row r="36" spans="1:31" ht="16.2" customHeight="1">
      <c r="A36" s="51">
        <v>3</v>
      </c>
      <c r="B36" s="51"/>
      <c r="C36" s="533"/>
      <c r="D36" s="139"/>
      <c r="E36" s="515"/>
      <c r="F36" s="132"/>
      <c r="G36" s="51">
        <v>3</v>
      </c>
      <c r="H36" s="51"/>
      <c r="I36" s="512"/>
      <c r="J36" s="139"/>
      <c r="K36" s="515"/>
      <c r="L36" s="132"/>
      <c r="M36" s="51">
        <v>3</v>
      </c>
      <c r="N36" s="51">
        <v>75043</v>
      </c>
      <c r="O36" s="386" t="s">
        <v>3</v>
      </c>
      <c r="P36" s="143">
        <v>650</v>
      </c>
      <c r="Q36" s="515"/>
      <c r="R36" s="405"/>
      <c r="S36" s="51">
        <v>3</v>
      </c>
      <c r="T36" s="51">
        <v>74035</v>
      </c>
      <c r="U36" s="386" t="s">
        <v>7</v>
      </c>
      <c r="V36" s="446" t="s">
        <v>1618</v>
      </c>
      <c r="W36" s="515"/>
      <c r="X36" s="405"/>
      <c r="Y36" s="51">
        <v>3</v>
      </c>
      <c r="Z36" s="51"/>
      <c r="AA36" s="512"/>
      <c r="AB36" s="139"/>
      <c r="AC36" s="515"/>
      <c r="AD36" s="132"/>
      <c r="AE36" s="516"/>
    </row>
    <row r="37" spans="1:31" ht="16.2" customHeight="1" thickBot="1">
      <c r="A37" s="51">
        <v>3</v>
      </c>
      <c r="B37" s="51"/>
      <c r="C37" s="533"/>
      <c r="D37" s="139"/>
      <c r="E37" s="515"/>
      <c r="F37" s="132"/>
      <c r="G37" s="51">
        <v>3</v>
      </c>
      <c r="H37" s="51"/>
      <c r="I37" s="533"/>
      <c r="J37" s="139"/>
      <c r="K37" s="515"/>
      <c r="L37" s="132"/>
      <c r="M37" s="51">
        <v>3</v>
      </c>
      <c r="N37" s="51"/>
      <c r="O37" s="512"/>
      <c r="P37" s="139"/>
      <c r="Q37" s="515"/>
      <c r="R37" s="132"/>
      <c r="S37" s="51">
        <v>3</v>
      </c>
      <c r="T37" s="51"/>
      <c r="U37" s="512"/>
      <c r="V37" s="139"/>
      <c r="W37" s="515"/>
      <c r="X37" s="132"/>
      <c r="Y37" s="51">
        <v>3</v>
      </c>
      <c r="Z37" s="51"/>
      <c r="AA37" s="512"/>
      <c r="AB37" s="139"/>
      <c r="AC37" s="515"/>
      <c r="AD37" s="132"/>
      <c r="AE37" s="516"/>
    </row>
    <row r="38" spans="1:31" ht="16.2" customHeight="1" thickTop="1">
      <c r="A38" s="51">
        <v>4</v>
      </c>
      <c r="B38" s="51"/>
      <c r="C38" s="523" t="s">
        <v>273</v>
      </c>
      <c r="D38" s="27">
        <f>SUM(D31:D37)</f>
        <v>5650</v>
      </c>
      <c r="E38" s="522"/>
      <c r="F38" s="75">
        <f>SUM(F31:F37)</f>
        <v>0</v>
      </c>
      <c r="G38" s="51">
        <v>4</v>
      </c>
      <c r="H38" s="51"/>
      <c r="I38" s="523" t="s">
        <v>273</v>
      </c>
      <c r="J38" s="27">
        <f>SUM(J31:J37)</f>
        <v>4350</v>
      </c>
      <c r="K38" s="522"/>
      <c r="L38" s="75">
        <f>SUM(L31:L37)</f>
        <v>0</v>
      </c>
      <c r="M38" s="51">
        <v>4</v>
      </c>
      <c r="N38" s="51"/>
      <c r="O38" s="523" t="s">
        <v>273</v>
      </c>
      <c r="P38" s="27">
        <f>SUM(P31:P37)</f>
        <v>4500</v>
      </c>
      <c r="Q38" s="522"/>
      <c r="R38" s="75">
        <f>SUM(R31:R37)</f>
        <v>0</v>
      </c>
      <c r="S38" s="51">
        <v>4</v>
      </c>
      <c r="T38" s="51"/>
      <c r="U38" s="523" t="s">
        <v>273</v>
      </c>
      <c r="V38" s="27">
        <f>SUM(V31:V37)</f>
        <v>7500</v>
      </c>
      <c r="W38" s="522"/>
      <c r="X38" s="75">
        <f>SUM(X31:X37)</f>
        <v>0</v>
      </c>
      <c r="Y38" s="51">
        <v>4</v>
      </c>
      <c r="Z38" s="51"/>
      <c r="AA38" s="523" t="s">
        <v>273</v>
      </c>
      <c r="AB38" s="27">
        <f>SUM(AB31:AB37)</f>
        <v>0</v>
      </c>
      <c r="AC38" s="522"/>
      <c r="AD38" s="75">
        <f>SUM(AD31:AD37)</f>
        <v>0</v>
      </c>
      <c r="AE38" s="524">
        <f>D38+J38+P38+V38+AB38</f>
        <v>22000</v>
      </c>
    </row>
    <row r="39" spans="1:31" ht="16.2" customHeight="1">
      <c r="A39" s="51">
        <v>9</v>
      </c>
      <c r="B39" s="51"/>
      <c r="G39" s="51">
        <v>9</v>
      </c>
      <c r="H39" s="51"/>
      <c r="M39" s="51">
        <v>9</v>
      </c>
      <c r="N39" s="51"/>
      <c r="O39" s="745"/>
      <c r="P39" s="213"/>
      <c r="Q39" s="489"/>
      <c r="R39" s="489"/>
      <c r="S39" s="51">
        <v>9</v>
      </c>
      <c r="T39" s="51"/>
      <c r="U39" s="537"/>
      <c r="V39" s="213"/>
      <c r="W39" s="489"/>
      <c r="X39" s="489"/>
      <c r="Y39" s="51">
        <v>9</v>
      </c>
      <c r="Z39" s="51"/>
      <c r="AA39" s="537"/>
      <c r="AB39" s="213"/>
      <c r="AD39" s="527" t="s">
        <v>326</v>
      </c>
      <c r="AE39" s="93">
        <f>A大阪市東淀川区折込部数+M大阪市東淀川区折込部数+S大阪市東淀川区折込部数+Y大阪市東淀川区折込部数+AD38</f>
        <v>0</v>
      </c>
    </row>
    <row r="40" spans="1:31" ht="16.2" customHeight="1">
      <c r="C40" s="18"/>
      <c r="D40" s="21"/>
      <c r="E40" s="217"/>
      <c r="F40" s="246"/>
      <c r="G40" s="246"/>
      <c r="H40" s="246"/>
      <c r="I40" s="745"/>
      <c r="J40" s="247"/>
      <c r="K40" s="217"/>
      <c r="L40" s="248"/>
      <c r="M40" s="248"/>
      <c r="N40" s="248"/>
      <c r="O40" s="745"/>
      <c r="P40" s="213"/>
      <c r="Q40" s="489"/>
      <c r="R40" s="246"/>
      <c r="S40" s="246"/>
      <c r="T40" s="246"/>
      <c r="U40" s="537"/>
      <c r="V40" s="249"/>
      <c r="W40" s="489"/>
      <c r="X40" s="246"/>
      <c r="Y40" s="246"/>
      <c r="Z40" s="246"/>
      <c r="AA40" s="537"/>
      <c r="AB40" s="213"/>
      <c r="AC40" s="489"/>
      <c r="AD40" s="246"/>
      <c r="AE40" s="489"/>
    </row>
    <row r="41" spans="1:31" ht="16.2" customHeight="1">
      <c r="C41" s="537"/>
      <c r="D41" s="213"/>
      <c r="E41" s="489"/>
      <c r="F41" s="246"/>
      <c r="G41" s="246"/>
      <c r="H41" s="246"/>
      <c r="I41" s="745"/>
      <c r="J41" s="247"/>
      <c r="K41" s="217"/>
      <c r="L41" s="250"/>
      <c r="M41" s="250"/>
      <c r="N41" s="250"/>
      <c r="O41" s="745"/>
      <c r="P41" s="213"/>
      <c r="Q41" s="489"/>
      <c r="R41" s="246"/>
      <c r="S41" s="246"/>
      <c r="T41" s="246"/>
      <c r="U41" s="537"/>
      <c r="V41" s="213"/>
      <c r="W41" s="489"/>
      <c r="X41" s="246"/>
      <c r="Y41" s="246"/>
      <c r="Z41" s="246"/>
      <c r="AA41" s="537"/>
      <c r="AB41" s="213"/>
      <c r="AC41" s="489"/>
      <c r="AD41" s="246"/>
      <c r="AE41" s="489"/>
    </row>
    <row r="42" spans="1:31" ht="16.2" customHeight="1">
      <c r="C42" s="537"/>
      <c r="D42" s="213"/>
      <c r="E42" s="489"/>
      <c r="F42" s="246"/>
      <c r="G42" s="246"/>
      <c r="H42" s="246"/>
      <c r="I42" s="537"/>
      <c r="J42" s="213"/>
      <c r="K42" s="217"/>
      <c r="L42" s="246"/>
      <c r="M42" s="246"/>
      <c r="N42" s="246"/>
      <c r="O42" s="537"/>
      <c r="P42" s="213"/>
      <c r="Q42" s="489"/>
      <c r="R42" s="246"/>
      <c r="S42" s="246"/>
      <c r="T42" s="246"/>
      <c r="U42" s="537"/>
      <c r="V42" s="213"/>
      <c r="W42" s="489"/>
      <c r="X42" s="246"/>
      <c r="Y42" s="246"/>
      <c r="Z42" s="246"/>
      <c r="AA42" s="537"/>
      <c r="AB42" s="213"/>
      <c r="AC42" s="489"/>
      <c r="AD42" s="246"/>
      <c r="AE42" s="489"/>
    </row>
    <row r="43" spans="1:31" ht="16.2" customHeight="1">
      <c r="C43" s="18"/>
      <c r="D43" s="20"/>
      <c r="F43" s="189"/>
      <c r="G43" s="189"/>
      <c r="H43" s="189"/>
      <c r="I43" s="18"/>
      <c r="J43" s="20"/>
      <c r="L43" s="189"/>
      <c r="M43" s="189"/>
      <c r="N43" s="189"/>
      <c r="O43" s="18"/>
      <c r="P43" s="21"/>
      <c r="R43" s="189"/>
      <c r="S43" s="189"/>
      <c r="T43" s="189"/>
      <c r="U43" s="18"/>
      <c r="V43" s="21"/>
      <c r="X43" s="189"/>
      <c r="Y43" s="189"/>
      <c r="Z43" s="189"/>
      <c r="AA43" s="18"/>
      <c r="AB43" s="21"/>
      <c r="AD43" s="189"/>
      <c r="AE43" s="20"/>
    </row>
    <row r="44" spans="1:31" ht="16.2" customHeight="1">
      <c r="J44" s="489"/>
      <c r="K44" s="217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D44" s="18"/>
      <c r="AE44" s="189"/>
    </row>
    <row r="45" spans="1:31" ht="16.2" customHeight="1"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</row>
    <row r="46" spans="1:31" ht="16.2" customHeight="1">
      <c r="C46" s="489"/>
      <c r="D46" s="489"/>
      <c r="E46" s="489"/>
      <c r="F46" s="489"/>
      <c r="G46" s="489"/>
      <c r="H46" s="489"/>
      <c r="I46" s="489"/>
      <c r="J46" s="489"/>
      <c r="K46" s="217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</row>
    <row r="47" spans="1:31" ht="16.2" customHeight="1">
      <c r="C47" s="489"/>
      <c r="D47" s="489"/>
      <c r="E47" s="489"/>
      <c r="F47" s="489"/>
      <c r="G47" s="489"/>
      <c r="H47" s="489"/>
      <c r="I47" s="489"/>
      <c r="J47" s="489"/>
      <c r="K47" s="217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1:31" ht="16.2" customHeight="1">
      <c r="C48" s="489"/>
      <c r="D48" s="489"/>
      <c r="E48" s="489"/>
      <c r="F48" s="489"/>
      <c r="G48" s="489"/>
      <c r="H48" s="489"/>
      <c r="I48" s="489"/>
      <c r="J48" s="489"/>
      <c r="K48" s="217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3:31" ht="16.2" customHeight="1">
      <c r="C49" s="489"/>
      <c r="D49" s="489"/>
      <c r="E49" s="489"/>
      <c r="F49" s="489"/>
      <c r="G49" s="489"/>
      <c r="H49" s="489"/>
      <c r="I49" s="489"/>
      <c r="J49" s="489"/>
      <c r="K49" s="217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3:31" ht="16.2" customHeight="1">
      <c r="C50" s="489"/>
      <c r="D50" s="489"/>
      <c r="E50" s="489"/>
      <c r="F50" s="489"/>
      <c r="G50" s="489"/>
      <c r="H50" s="489"/>
      <c r="I50" s="489"/>
      <c r="J50" s="489"/>
      <c r="K50" s="217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3:31" ht="16.2" customHeight="1">
      <c r="C51" s="489"/>
      <c r="D51" s="489"/>
      <c r="E51" s="489"/>
      <c r="F51" s="489"/>
      <c r="G51" s="489"/>
      <c r="H51" s="489"/>
      <c r="I51" s="489"/>
      <c r="J51" s="489"/>
      <c r="K51" s="217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3:31" ht="16.2" customHeight="1">
      <c r="C52" s="489"/>
      <c r="D52" s="489"/>
      <c r="E52" s="489"/>
      <c r="F52" s="489"/>
      <c r="G52" s="489"/>
      <c r="H52" s="489"/>
      <c r="I52" s="489"/>
      <c r="J52" s="489"/>
      <c r="K52" s="217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3:31" ht="16.2" customHeight="1">
      <c r="C53" s="489"/>
      <c r="D53" s="489"/>
      <c r="E53" s="489"/>
      <c r="F53" s="489"/>
      <c r="G53" s="489"/>
      <c r="H53" s="489"/>
      <c r="I53" s="489"/>
      <c r="J53" s="489"/>
      <c r="K53" s="217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3:31" ht="16.2" customHeight="1">
      <c r="C54" s="489"/>
      <c r="D54" s="489"/>
      <c r="E54" s="489"/>
      <c r="F54" s="489"/>
      <c r="G54" s="489"/>
      <c r="H54" s="489"/>
      <c r="I54" s="489"/>
      <c r="J54" s="489"/>
      <c r="K54" s="217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</row>
    <row r="55" spans="3:31" ht="16.2" customHeight="1">
      <c r="C55" s="489"/>
      <c r="D55" s="489"/>
      <c r="E55" s="489"/>
      <c r="F55" s="489"/>
      <c r="G55" s="489"/>
      <c r="H55" s="489"/>
      <c r="I55" s="489"/>
      <c r="J55" s="489"/>
      <c r="K55" s="217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3:31" ht="16.2" customHeight="1">
      <c r="C56" s="489"/>
      <c r="D56" s="489"/>
      <c r="E56" s="489"/>
      <c r="F56" s="489"/>
      <c r="G56" s="489"/>
      <c r="H56" s="489"/>
      <c r="I56" s="489"/>
      <c r="J56" s="489"/>
      <c r="K56" s="217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</row>
    <row r="57" spans="3:31" ht="16.2" customHeight="1">
      <c r="C57" s="489"/>
      <c r="D57" s="489"/>
      <c r="E57" s="489"/>
      <c r="F57" s="489"/>
      <c r="G57" s="489"/>
      <c r="H57" s="489"/>
      <c r="I57" s="489"/>
      <c r="J57" s="489"/>
      <c r="K57" s="217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</row>
    <row r="58" spans="3:31" ht="16.2" customHeight="1">
      <c r="C58" s="489"/>
      <c r="D58" s="489"/>
      <c r="E58" s="489"/>
      <c r="F58" s="489"/>
      <c r="G58" s="489"/>
      <c r="H58" s="489"/>
      <c r="I58" s="489"/>
      <c r="J58" s="489"/>
      <c r="K58" s="217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</row>
    <row r="59" spans="3:31" ht="16.2" customHeight="1">
      <c r="C59" s="489"/>
      <c r="D59" s="489"/>
      <c r="E59" s="489"/>
      <c r="F59" s="489"/>
      <c r="G59" s="489"/>
      <c r="H59" s="489"/>
      <c r="I59" s="489"/>
      <c r="J59" s="489"/>
      <c r="K59" s="217"/>
      <c r="L59" s="489"/>
      <c r="M59" s="489"/>
      <c r="N59" s="489"/>
      <c r="O59" s="489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</row>
    <row r="60" spans="3:31" ht="16.2" customHeight="1">
      <c r="C60" s="489"/>
      <c r="D60" s="489"/>
      <c r="E60" s="489"/>
      <c r="F60" s="489"/>
      <c r="G60" s="489"/>
      <c r="H60" s="489"/>
      <c r="I60" s="489"/>
      <c r="J60" s="489"/>
      <c r="K60" s="217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</row>
    <row r="61" spans="3:31" ht="16.2" customHeight="1">
      <c r="C61" s="489"/>
      <c r="D61" s="489"/>
      <c r="E61" s="489"/>
      <c r="F61" s="489"/>
      <c r="G61" s="489"/>
      <c r="H61" s="489"/>
      <c r="I61" s="489"/>
      <c r="J61" s="489"/>
      <c r="K61" s="217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</row>
    <row r="62" spans="3:31" ht="16.2" customHeight="1">
      <c r="C62" s="489"/>
      <c r="D62" s="489"/>
      <c r="E62" s="489"/>
      <c r="F62" s="489"/>
      <c r="G62" s="489"/>
      <c r="H62" s="489"/>
      <c r="I62" s="489"/>
      <c r="J62" s="489"/>
      <c r="K62" s="217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</row>
    <row r="63" spans="3:31" ht="16.2" customHeight="1">
      <c r="C63" s="489"/>
      <c r="D63" s="489"/>
      <c r="E63" s="489"/>
      <c r="F63" s="489"/>
      <c r="G63" s="489"/>
      <c r="H63" s="489"/>
      <c r="I63" s="489"/>
      <c r="J63" s="489"/>
      <c r="K63" s="217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</row>
    <row r="64" spans="3:31" ht="16.2" customHeight="1">
      <c r="C64" s="489"/>
      <c r="D64" s="489"/>
      <c r="E64" s="489"/>
      <c r="F64" s="489"/>
      <c r="G64" s="489"/>
      <c r="H64" s="489"/>
      <c r="I64" s="489"/>
      <c r="J64" s="489"/>
      <c r="K64" s="217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</row>
    <row r="65" spans="3:31" ht="16.2" customHeight="1">
      <c r="C65" s="489"/>
      <c r="D65" s="489"/>
      <c r="E65" s="489"/>
      <c r="F65" s="489"/>
      <c r="G65" s="489"/>
      <c r="H65" s="489"/>
      <c r="I65" s="489"/>
      <c r="J65" s="489"/>
      <c r="K65" s="217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</row>
    <row r="66" spans="3:31" ht="16.2" customHeight="1">
      <c r="C66" s="489"/>
      <c r="D66" s="489"/>
      <c r="E66" s="489"/>
      <c r="F66" s="489"/>
      <c r="G66" s="489"/>
      <c r="H66" s="489"/>
      <c r="I66" s="489"/>
      <c r="J66" s="489"/>
      <c r="K66" s="217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</row>
    <row r="67" spans="3:31" ht="16.2" customHeight="1">
      <c r="C67" s="489"/>
      <c r="D67" s="489"/>
      <c r="E67" s="489"/>
      <c r="F67" s="489"/>
      <c r="G67" s="489"/>
      <c r="H67" s="489"/>
      <c r="I67" s="489"/>
      <c r="J67" s="489"/>
      <c r="K67" s="217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</row>
    <row r="68" spans="3:31" ht="16.2" customHeight="1">
      <c r="C68" s="489"/>
      <c r="D68" s="489"/>
      <c r="E68" s="489"/>
      <c r="F68" s="489"/>
      <c r="G68" s="489"/>
      <c r="H68" s="489"/>
      <c r="I68" s="489"/>
      <c r="J68" s="489"/>
      <c r="K68" s="217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</row>
    <row r="69" spans="3:31" ht="16.2" customHeight="1">
      <c r="C69" s="489"/>
      <c r="D69" s="489"/>
      <c r="E69" s="489"/>
      <c r="F69" s="489"/>
      <c r="G69" s="489"/>
      <c r="H69" s="489"/>
      <c r="I69" s="489"/>
      <c r="J69" s="489"/>
      <c r="K69" s="217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</row>
    <row r="70" spans="3:31" ht="16.2" customHeight="1">
      <c r="C70" s="489"/>
      <c r="D70" s="489"/>
      <c r="E70" s="489"/>
      <c r="F70" s="489"/>
      <c r="G70" s="489"/>
      <c r="H70" s="489"/>
      <c r="I70" s="489"/>
      <c r="J70" s="489"/>
      <c r="K70" s="217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</row>
    <row r="71" spans="3:31" ht="16.2" customHeight="1">
      <c r="C71" s="489"/>
      <c r="D71" s="489"/>
      <c r="E71" s="489"/>
      <c r="F71" s="489"/>
      <c r="G71" s="489"/>
      <c r="H71" s="489"/>
      <c r="I71" s="489"/>
      <c r="J71" s="489"/>
      <c r="K71" s="217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</row>
    <row r="72" spans="3:31" ht="16.2" customHeight="1">
      <c r="C72" s="489"/>
      <c r="D72" s="489"/>
      <c r="E72" s="489"/>
      <c r="F72" s="489"/>
      <c r="G72" s="489"/>
      <c r="H72" s="489"/>
      <c r="I72" s="489"/>
      <c r="J72" s="489"/>
      <c r="K72" s="217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3:31" ht="16.2" customHeight="1">
      <c r="C73" s="489"/>
      <c r="D73" s="489"/>
      <c r="E73" s="489"/>
      <c r="F73" s="489"/>
      <c r="G73" s="489"/>
      <c r="H73" s="489"/>
      <c r="I73" s="489"/>
      <c r="J73" s="489"/>
      <c r="K73" s="217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</row>
    <row r="74" spans="3:31" ht="16.2" customHeight="1">
      <c r="C74" s="489"/>
      <c r="D74" s="489"/>
      <c r="E74" s="489"/>
      <c r="F74" s="489"/>
      <c r="G74" s="489"/>
      <c r="H74" s="489"/>
      <c r="I74" s="489"/>
      <c r="J74" s="489"/>
      <c r="K74" s="217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</row>
    <row r="75" spans="3:31" ht="16.2" customHeight="1">
      <c r="C75" s="489"/>
      <c r="D75" s="489"/>
      <c r="E75" s="489"/>
      <c r="F75" s="489"/>
      <c r="G75" s="489"/>
      <c r="H75" s="489"/>
      <c r="I75" s="489"/>
      <c r="J75" s="489"/>
      <c r="K75" s="217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</row>
    <row r="76" spans="3:31" ht="16.2" customHeight="1">
      <c r="C76" s="489"/>
      <c r="D76" s="489"/>
      <c r="E76" s="489"/>
      <c r="F76" s="489"/>
      <c r="G76" s="489"/>
      <c r="H76" s="489"/>
      <c r="I76" s="489"/>
      <c r="J76" s="489"/>
      <c r="K76" s="217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</row>
    <row r="77" spans="3:31" ht="16.2" customHeight="1">
      <c r="C77" s="489"/>
      <c r="D77" s="489"/>
      <c r="E77" s="489"/>
      <c r="F77" s="489"/>
      <c r="G77" s="489"/>
      <c r="H77" s="489"/>
      <c r="I77" s="489"/>
      <c r="J77" s="489"/>
      <c r="K77" s="217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</row>
    <row r="78" spans="3:31" ht="16.2" customHeight="1">
      <c r="C78" s="489"/>
      <c r="D78" s="489"/>
      <c r="E78" s="489"/>
      <c r="F78" s="489"/>
      <c r="G78" s="489"/>
      <c r="H78" s="489"/>
      <c r="I78" s="489"/>
      <c r="J78" s="489"/>
      <c r="K78" s="217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</row>
  </sheetData>
  <sheetProtection formatCells="0"/>
  <mergeCells count="14">
    <mergeCell ref="AA7:AE8"/>
    <mergeCell ref="AA10:AD10"/>
    <mergeCell ref="W7:X7"/>
    <mergeCell ref="C2:F3"/>
    <mergeCell ref="I10:L10"/>
    <mergeCell ref="W5:X5"/>
    <mergeCell ref="C10:F10"/>
    <mergeCell ref="O10:R10"/>
    <mergeCell ref="U10:X10"/>
    <mergeCell ref="D5:L6"/>
    <mergeCell ref="D7:L8"/>
    <mergeCell ref="P5:V6"/>
    <mergeCell ref="AA5:AC6"/>
    <mergeCell ref="P7:Q8"/>
  </mergeCells>
  <phoneticPr fontId="2"/>
  <conditionalFormatting sqref="F13:F14 L13:L14 R13:R16 X13:X15 F21:F26 L21:L26 R21:R26 X21:X26 F31:F35 L31:L34 R31:R36 X31:X36">
    <cfRule type="cellIs" dxfId="51" priority="12" operator="greaterThan">
      <formula>D13</formula>
    </cfRule>
  </conditionalFormatting>
  <hyperlinks>
    <hyperlink ref="C2:F3" location="提案表紙!A1" display="大阪府折込資料表" xr:uid="{00000000-0004-0000-05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&amp;L西淀川・淀川・東淀川
&amp;RP-2/34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B6D2F5"/>
    <pageSetUpPr fitToPage="1"/>
  </sheetPr>
  <dimension ref="A1:AE77"/>
  <sheetViews>
    <sheetView showZeros="0" topLeftCell="C2" zoomScaleNormal="100" workbookViewId="0">
      <selection activeCell="C2" sqref="C2:F3"/>
    </sheetView>
  </sheetViews>
  <sheetFormatPr defaultRowHeight="13.2"/>
  <cols>
    <col min="1" max="2" width="8.6640625" hidden="1" customWidth="1"/>
    <col min="3" max="3" width="13.6640625" customWidth="1"/>
    <col min="4" max="4" width="6.7773437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4" width="8.6640625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6" width="8.6640625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idden="1">
      <c r="A1" s="338" t="s">
        <v>1369</v>
      </c>
      <c r="B1" s="51" t="s">
        <v>1370</v>
      </c>
      <c r="C1" s="22"/>
      <c r="F1" s="51" t="s">
        <v>1371</v>
      </c>
      <c r="G1" s="338" t="s">
        <v>1369</v>
      </c>
      <c r="H1" s="51" t="s">
        <v>1370</v>
      </c>
      <c r="L1" s="51" t="s">
        <v>1371</v>
      </c>
      <c r="M1" s="338" t="s">
        <v>1369</v>
      </c>
      <c r="N1" s="51" t="s">
        <v>1370</v>
      </c>
      <c r="O1" s="18"/>
      <c r="R1" s="51" t="s">
        <v>1371</v>
      </c>
      <c r="S1" s="338" t="s">
        <v>1369</v>
      </c>
      <c r="T1" s="51" t="s">
        <v>1370</v>
      </c>
      <c r="U1" s="18"/>
      <c r="X1" s="51" t="s">
        <v>1371</v>
      </c>
      <c r="Y1" s="338" t="s">
        <v>1369</v>
      </c>
      <c r="Z1" s="51" t="s">
        <v>1370</v>
      </c>
      <c r="AA1" s="18"/>
      <c r="AD1" s="51" t="s">
        <v>1371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S2" s="51"/>
      <c r="W2" s="500"/>
      <c r="X2" s="500" t="s">
        <v>1313</v>
      </c>
    </row>
    <row r="3" spans="1:31" ht="13.5" customHeight="1">
      <c r="C3" s="835"/>
      <c r="D3" s="835"/>
      <c r="E3" s="835"/>
      <c r="F3" s="835"/>
      <c r="G3" s="460"/>
      <c r="H3" s="460"/>
      <c r="I3" s="114" t="s">
        <v>561</v>
      </c>
      <c r="S3" s="51"/>
      <c r="W3" s="500"/>
      <c r="X3" s="500" t="s">
        <v>1501</v>
      </c>
    </row>
    <row r="4" spans="1:31" ht="13.5" customHeight="1">
      <c r="C4" t="s">
        <v>317</v>
      </c>
      <c r="I4" s="187">
        <v>45689</v>
      </c>
      <c r="J4" s="186" t="s">
        <v>0</v>
      </c>
      <c r="K4" t="s">
        <v>272</v>
      </c>
      <c r="S4" s="51"/>
      <c r="W4" s="500"/>
      <c r="X4" s="500" t="s">
        <v>1500</v>
      </c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298</v>
      </c>
      <c r="P7" s="827">
        <f>提案表紙!G9</f>
        <v>0</v>
      </c>
      <c r="Q7" s="828"/>
      <c r="R7" s="7" t="s">
        <v>249</v>
      </c>
      <c r="U7" s="410">
        <f>大阪市北区折込部数+大阪市福島区折込部数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250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/>
    <row r="10" spans="1:31" ht="16.2" customHeight="1">
      <c r="A10" s="51">
        <v>1</v>
      </c>
      <c r="B10" s="51">
        <v>2</v>
      </c>
      <c r="C10" s="818" t="s">
        <v>309</v>
      </c>
      <c r="D10" s="819"/>
      <c r="E10" s="819"/>
      <c r="F10" s="820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311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505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505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505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505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505" t="s">
        <v>231</v>
      </c>
      <c r="AE11" s="507" t="s">
        <v>308</v>
      </c>
    </row>
    <row r="12" spans="1:31" ht="16.2" customHeight="1">
      <c r="A12" s="51">
        <v>2</v>
      </c>
      <c r="B12" s="488" t="s">
        <v>1390</v>
      </c>
      <c r="C12" s="45" t="s">
        <v>8</v>
      </c>
      <c r="D12" s="12"/>
      <c r="E12" s="11"/>
      <c r="F12" s="11"/>
      <c r="G12" s="51">
        <v>2</v>
      </c>
      <c r="H12" s="488" t="s">
        <v>1390</v>
      </c>
      <c r="I12" s="508"/>
      <c r="J12" s="12"/>
      <c r="K12" s="11"/>
      <c r="L12" s="11"/>
      <c r="M12" s="51">
        <v>2</v>
      </c>
      <c r="N12" s="488" t="s">
        <v>1390</v>
      </c>
      <c r="O12" s="739"/>
      <c r="P12" s="739"/>
      <c r="Q12" s="739"/>
      <c r="R12" s="739"/>
      <c r="S12" s="51">
        <v>2</v>
      </c>
      <c r="T12" s="488" t="s">
        <v>1390</v>
      </c>
      <c r="U12" s="11"/>
      <c r="V12" s="12"/>
      <c r="W12" s="11"/>
      <c r="X12" s="11"/>
      <c r="Y12" s="51">
        <v>2</v>
      </c>
      <c r="Z12" s="488" t="s">
        <v>1390</v>
      </c>
      <c r="AA12" s="11"/>
      <c r="AB12" s="12"/>
      <c r="AC12" s="11"/>
      <c r="AD12" s="11"/>
    </row>
    <row r="13" spans="1:31" ht="16.2" customHeight="1">
      <c r="A13" s="51">
        <v>3</v>
      </c>
      <c r="B13" s="51">
        <v>72031</v>
      </c>
      <c r="C13" s="441" t="s">
        <v>9</v>
      </c>
      <c r="D13" s="148">
        <v>900</v>
      </c>
      <c r="E13" s="511"/>
      <c r="F13" s="404"/>
      <c r="G13" s="51">
        <v>3</v>
      </c>
      <c r="H13" s="51">
        <v>73033</v>
      </c>
      <c r="I13" s="350" t="s">
        <v>1121</v>
      </c>
      <c r="J13" s="143">
        <v>1700</v>
      </c>
      <c r="K13" s="511"/>
      <c r="L13" s="404"/>
      <c r="M13" s="51">
        <v>3</v>
      </c>
      <c r="N13" s="51">
        <v>75045</v>
      </c>
      <c r="O13" s="441" t="s">
        <v>12</v>
      </c>
      <c r="P13" s="148">
        <v>300</v>
      </c>
      <c r="Q13" s="511"/>
      <c r="R13" s="404"/>
      <c r="S13" s="51">
        <v>3</v>
      </c>
      <c r="T13" s="51">
        <v>74037</v>
      </c>
      <c r="U13" s="441" t="s">
        <v>13</v>
      </c>
      <c r="V13" s="148">
        <v>3700</v>
      </c>
      <c r="W13" s="511"/>
      <c r="X13" s="404"/>
      <c r="Y13" s="51">
        <v>3</v>
      </c>
      <c r="Z13" s="51"/>
      <c r="AA13" s="703"/>
      <c r="AB13" s="215"/>
      <c r="AC13" s="511"/>
      <c r="AD13" s="129"/>
      <c r="AE13" s="513"/>
    </row>
    <row r="14" spans="1:31" ht="16.2" customHeight="1">
      <c r="A14" s="51">
        <v>3</v>
      </c>
      <c r="B14" s="51">
        <v>72033</v>
      </c>
      <c r="C14" s="386" t="s">
        <v>1264</v>
      </c>
      <c r="D14" s="143">
        <v>2250</v>
      </c>
      <c r="E14" s="515"/>
      <c r="F14" s="405"/>
      <c r="G14" s="51">
        <v>3</v>
      </c>
      <c r="H14" s="51">
        <v>73035</v>
      </c>
      <c r="I14" s="386" t="s">
        <v>11</v>
      </c>
      <c r="J14" s="143">
        <v>1250</v>
      </c>
      <c r="K14" s="515"/>
      <c r="L14" s="405"/>
      <c r="M14" s="51">
        <v>3</v>
      </c>
      <c r="N14" s="51">
        <v>75047</v>
      </c>
      <c r="O14" s="386" t="s">
        <v>11</v>
      </c>
      <c r="P14" s="143">
        <v>650</v>
      </c>
      <c r="Q14" s="515"/>
      <c r="R14" s="405"/>
      <c r="S14" s="51">
        <v>3</v>
      </c>
      <c r="T14" s="51">
        <v>74041</v>
      </c>
      <c r="U14" s="386" t="s">
        <v>1621</v>
      </c>
      <c r="V14" s="143">
        <v>3350</v>
      </c>
      <c r="W14" s="515"/>
      <c r="X14" s="405"/>
      <c r="Y14" s="51">
        <v>3</v>
      </c>
      <c r="Z14" s="51"/>
      <c r="AA14" s="512"/>
      <c r="AB14" s="139"/>
      <c r="AC14" s="515"/>
      <c r="AD14" s="132"/>
      <c r="AE14" s="516"/>
    </row>
    <row r="15" spans="1:31" ht="16.2" customHeight="1">
      <c r="A15" s="51">
        <v>3</v>
      </c>
      <c r="B15" s="51">
        <v>72035</v>
      </c>
      <c r="C15" s="386" t="s">
        <v>10</v>
      </c>
      <c r="D15" s="143">
        <v>1200</v>
      </c>
      <c r="E15" s="515"/>
      <c r="F15" s="405"/>
      <c r="G15" s="51">
        <v>3</v>
      </c>
      <c r="H15" s="51"/>
      <c r="I15" s="386"/>
      <c r="J15" s="143"/>
      <c r="K15" s="515"/>
      <c r="L15" s="132"/>
      <c r="M15" s="51">
        <v>3</v>
      </c>
      <c r="N15" s="51">
        <v>75049</v>
      </c>
      <c r="O15" s="386" t="s">
        <v>907</v>
      </c>
      <c r="P15" s="143">
        <v>1100</v>
      </c>
      <c r="Q15" s="515"/>
      <c r="R15" s="405"/>
      <c r="S15" s="51">
        <v>3</v>
      </c>
      <c r="T15" s="51">
        <v>74043</v>
      </c>
      <c r="U15" s="386" t="s">
        <v>1109</v>
      </c>
      <c r="V15" s="143">
        <v>2050</v>
      </c>
      <c r="W15" s="515"/>
      <c r="X15" s="405"/>
      <c r="Y15" s="51">
        <v>3</v>
      </c>
      <c r="Z15" s="51"/>
      <c r="AA15" s="512"/>
      <c r="AB15" s="139"/>
      <c r="AC15" s="515"/>
      <c r="AD15" s="132"/>
      <c r="AE15" s="516"/>
    </row>
    <row r="16" spans="1:31" ht="16.2" customHeight="1">
      <c r="A16" s="51">
        <v>3</v>
      </c>
      <c r="B16" s="51">
        <v>72036</v>
      </c>
      <c r="C16" s="386" t="s">
        <v>1544</v>
      </c>
      <c r="D16" s="139">
        <v>850</v>
      </c>
      <c r="E16" s="515"/>
      <c r="F16" s="132"/>
      <c r="G16" s="51">
        <v>3</v>
      </c>
      <c r="H16" s="51"/>
      <c r="I16" s="512"/>
      <c r="J16" s="343"/>
      <c r="K16" s="515"/>
      <c r="L16" s="132"/>
      <c r="M16" s="51">
        <v>3</v>
      </c>
      <c r="N16" s="51"/>
      <c r="O16" s="512"/>
      <c r="P16" s="139"/>
      <c r="Q16" s="515"/>
      <c r="R16" s="132"/>
      <c r="S16" s="51">
        <v>3</v>
      </c>
      <c r="T16" s="51">
        <v>74045</v>
      </c>
      <c r="U16" s="386" t="s">
        <v>11</v>
      </c>
      <c r="V16" s="446" t="s">
        <v>1618</v>
      </c>
      <c r="W16" s="515"/>
      <c r="X16" s="405"/>
      <c r="Y16" s="51">
        <v>3</v>
      </c>
      <c r="Z16" s="51"/>
      <c r="AA16" s="512"/>
      <c r="AB16" s="139"/>
      <c r="AC16" s="515"/>
      <c r="AD16" s="132"/>
      <c r="AE16" s="516"/>
    </row>
    <row r="17" spans="1:31" ht="16.2" customHeight="1">
      <c r="A17" s="51">
        <v>3</v>
      </c>
      <c r="B17" s="51">
        <v>72038</v>
      </c>
      <c r="C17" s="512" t="s">
        <v>1545</v>
      </c>
      <c r="D17" s="139">
        <v>400</v>
      </c>
      <c r="E17" s="515"/>
      <c r="F17" s="132"/>
      <c r="G17" s="51">
        <v>3</v>
      </c>
      <c r="H17" s="51"/>
      <c r="I17" s="512"/>
      <c r="J17" s="139"/>
      <c r="K17" s="515"/>
      <c r="L17" s="132"/>
      <c r="M17" s="51">
        <v>3</v>
      </c>
      <c r="N17" s="51"/>
      <c r="O17" s="512"/>
      <c r="P17" s="139"/>
      <c r="Q17" s="515"/>
      <c r="R17" s="132"/>
      <c r="S17" s="51">
        <v>3</v>
      </c>
      <c r="T17" s="51"/>
      <c r="U17" s="386"/>
      <c r="V17" s="143"/>
      <c r="W17" s="515"/>
      <c r="X17" s="405"/>
      <c r="Y17" s="51">
        <v>3</v>
      </c>
      <c r="Z17" s="51"/>
      <c r="AA17" s="512"/>
      <c r="AB17" s="139"/>
      <c r="AC17" s="515"/>
      <c r="AD17" s="132"/>
      <c r="AE17" s="516"/>
    </row>
    <row r="18" spans="1:31" ht="16.2" customHeight="1">
      <c r="A18" s="51">
        <v>3</v>
      </c>
      <c r="B18" s="51"/>
      <c r="C18" s="512"/>
      <c r="D18" s="139"/>
      <c r="E18" s="515"/>
      <c r="F18" s="132"/>
      <c r="G18" s="51">
        <v>3</v>
      </c>
      <c r="H18" s="51"/>
      <c r="I18" s="512"/>
      <c r="J18" s="139"/>
      <c r="K18" s="515"/>
      <c r="L18" s="132"/>
      <c r="M18" s="51">
        <v>3</v>
      </c>
      <c r="N18" s="51"/>
      <c r="O18" s="512"/>
      <c r="P18" s="139"/>
      <c r="Q18" s="515"/>
      <c r="R18" s="132"/>
      <c r="S18" s="51">
        <v>3</v>
      </c>
      <c r="T18" s="51"/>
      <c r="U18" s="512"/>
      <c r="V18" s="139"/>
      <c r="W18" s="515"/>
      <c r="X18" s="132"/>
      <c r="Y18" s="51">
        <v>3</v>
      </c>
      <c r="Z18" s="51"/>
      <c r="AA18" s="512"/>
      <c r="AB18" s="139"/>
      <c r="AC18" s="515"/>
      <c r="AD18" s="132"/>
      <c r="AE18" s="516"/>
    </row>
    <row r="19" spans="1:31" ht="16.2" customHeight="1">
      <c r="A19" s="51">
        <v>3</v>
      </c>
      <c r="B19" s="51"/>
      <c r="C19" s="512"/>
      <c r="D19" s="139"/>
      <c r="E19" s="515"/>
      <c r="F19" s="132"/>
      <c r="G19" s="51">
        <v>3</v>
      </c>
      <c r="H19" s="51"/>
      <c r="I19" s="512"/>
      <c r="J19" s="139"/>
      <c r="K19" s="515"/>
      <c r="L19" s="132"/>
      <c r="M19" s="51">
        <v>3</v>
      </c>
      <c r="N19" s="51"/>
      <c r="O19" s="512"/>
      <c r="P19" s="139"/>
      <c r="Q19" s="515"/>
      <c r="R19" s="132"/>
      <c r="S19" s="51">
        <v>3</v>
      </c>
      <c r="T19" s="51"/>
      <c r="U19" s="512"/>
      <c r="V19" s="139"/>
      <c r="W19" s="515"/>
      <c r="X19" s="132"/>
      <c r="Y19" s="51">
        <v>3</v>
      </c>
      <c r="Z19" s="51"/>
      <c r="AA19" s="512"/>
      <c r="AB19" s="139"/>
      <c r="AC19" s="515"/>
      <c r="AD19" s="132"/>
      <c r="AE19" s="516"/>
    </row>
    <row r="20" spans="1:31" ht="16.2" customHeight="1">
      <c r="A20" s="51">
        <v>3</v>
      </c>
      <c r="B20" s="51"/>
      <c r="C20" s="512"/>
      <c r="D20" s="139"/>
      <c r="E20" s="515"/>
      <c r="F20" s="132"/>
      <c r="G20" s="51">
        <v>3</v>
      </c>
      <c r="H20" s="51"/>
      <c r="I20" s="512"/>
      <c r="J20" s="515"/>
      <c r="K20" s="515"/>
      <c r="L20" s="132"/>
      <c r="M20" s="51">
        <v>3</v>
      </c>
      <c r="N20" s="51"/>
      <c r="O20" s="512"/>
      <c r="P20" s="139"/>
      <c r="Q20" s="515"/>
      <c r="R20" s="132"/>
      <c r="S20" s="51">
        <v>3</v>
      </c>
      <c r="T20" s="51"/>
      <c r="U20" s="512"/>
      <c r="V20" s="139"/>
      <c r="W20" s="515"/>
      <c r="X20" s="132"/>
      <c r="Y20" s="51">
        <v>3</v>
      </c>
      <c r="Z20" s="51"/>
      <c r="AA20" s="512"/>
      <c r="AB20" s="139"/>
      <c r="AC20" s="515"/>
      <c r="AD20" s="132"/>
      <c r="AE20" s="516"/>
    </row>
    <row r="21" spans="1:31" ht="16.2" customHeight="1">
      <c r="A21" s="51">
        <v>3</v>
      </c>
      <c r="B21" s="51"/>
      <c r="C21" s="512"/>
      <c r="D21" s="139"/>
      <c r="E21" s="515"/>
      <c r="F21" s="132"/>
      <c r="G21" s="51">
        <v>3</v>
      </c>
      <c r="H21" s="51"/>
      <c r="I21" s="512"/>
      <c r="J21" s="515"/>
      <c r="K21" s="515"/>
      <c r="L21" s="132"/>
      <c r="M21" s="51">
        <v>3</v>
      </c>
      <c r="N21" s="51"/>
      <c r="O21" s="512"/>
      <c r="P21" s="139"/>
      <c r="Q21" s="515"/>
      <c r="R21" s="132"/>
      <c r="S21" s="51">
        <v>3</v>
      </c>
      <c r="T21" s="51"/>
      <c r="U21" s="512"/>
      <c r="V21" s="139"/>
      <c r="W21" s="515"/>
      <c r="X21" s="132"/>
      <c r="Y21" s="51">
        <v>3</v>
      </c>
      <c r="Z21" s="51"/>
      <c r="AA21" s="512"/>
      <c r="AB21" s="139"/>
      <c r="AC21" s="515"/>
      <c r="AD21" s="132"/>
      <c r="AE21" s="516"/>
    </row>
    <row r="22" spans="1:31" ht="16.2" customHeight="1">
      <c r="A22" s="51">
        <v>3</v>
      </c>
      <c r="B22" s="51"/>
      <c r="C22" s="512"/>
      <c r="D22" s="515"/>
      <c r="E22" s="515"/>
      <c r="F22" s="132"/>
      <c r="G22" s="51">
        <v>3</v>
      </c>
      <c r="H22" s="51"/>
      <c r="I22" s="512"/>
      <c r="J22" s="515"/>
      <c r="K22" s="515"/>
      <c r="L22" s="132"/>
      <c r="M22" s="51">
        <v>3</v>
      </c>
      <c r="N22" s="51"/>
      <c r="O22" s="512"/>
      <c r="P22" s="139"/>
      <c r="Q22" s="515"/>
      <c r="R22" s="132"/>
      <c r="S22" s="51">
        <v>3</v>
      </c>
      <c r="T22" s="51"/>
      <c r="U22" s="512"/>
      <c r="V22" s="139"/>
      <c r="W22" s="515"/>
      <c r="X22" s="132"/>
      <c r="Y22" s="51">
        <v>3</v>
      </c>
      <c r="Z22" s="51"/>
      <c r="AA22" s="512"/>
      <c r="AB22" s="139"/>
      <c r="AC22" s="515"/>
      <c r="AD22" s="132"/>
      <c r="AE22" s="516"/>
    </row>
    <row r="23" spans="1:31" ht="16.2" customHeight="1" thickBot="1">
      <c r="A23" s="51">
        <v>3</v>
      </c>
      <c r="B23" s="51"/>
      <c r="C23" s="520"/>
      <c r="D23" s="519"/>
      <c r="E23" s="519"/>
      <c r="F23" s="134"/>
      <c r="G23" s="51">
        <v>3</v>
      </c>
      <c r="H23" s="51"/>
      <c r="I23" s="520"/>
      <c r="J23" s="519"/>
      <c r="K23" s="519"/>
      <c r="L23" s="133"/>
      <c r="M23" s="51">
        <v>3</v>
      </c>
      <c r="N23" s="51"/>
      <c r="O23" s="520"/>
      <c r="P23" s="208"/>
      <c r="Q23" s="519"/>
      <c r="R23" s="133"/>
      <c r="S23" s="51">
        <v>3</v>
      </c>
      <c r="T23" s="51"/>
      <c r="U23" s="520"/>
      <c r="V23" s="208"/>
      <c r="W23" s="519"/>
      <c r="X23" s="133"/>
      <c r="Y23" s="51">
        <v>3</v>
      </c>
      <c r="Z23" s="51"/>
      <c r="AA23" s="520"/>
      <c r="AB23" s="208"/>
      <c r="AC23" s="519"/>
      <c r="AD23" s="133"/>
      <c r="AE23" s="516"/>
    </row>
    <row r="24" spans="1:31" ht="16.2" customHeight="1" thickTop="1">
      <c r="A24" s="51">
        <v>4</v>
      </c>
      <c r="B24" s="51"/>
      <c r="C24" s="523" t="s">
        <v>271</v>
      </c>
      <c r="D24" s="535">
        <f xml:space="preserve"> SUM(D13:D23)</f>
        <v>5600</v>
      </c>
      <c r="E24" s="522"/>
      <c r="F24" s="75">
        <f>SUM(F13:F23)</f>
        <v>0</v>
      </c>
      <c r="G24" s="51">
        <v>4</v>
      </c>
      <c r="H24" s="51"/>
      <c r="I24" s="523" t="s">
        <v>271</v>
      </c>
      <c r="J24" s="535">
        <f xml:space="preserve"> SUM(J13:J23)</f>
        <v>2950</v>
      </c>
      <c r="K24" s="522"/>
      <c r="L24" s="75">
        <f>SUM(L13:L23)</f>
        <v>0</v>
      </c>
      <c r="M24" s="51">
        <v>4</v>
      </c>
      <c r="N24" s="51"/>
      <c r="O24" s="523" t="s">
        <v>271</v>
      </c>
      <c r="P24" s="535">
        <f xml:space="preserve"> SUM(P13:P23)</f>
        <v>2050</v>
      </c>
      <c r="Q24" s="522"/>
      <c r="R24" s="75">
        <f>SUM(R13:R23)</f>
        <v>0</v>
      </c>
      <c r="S24" s="51">
        <v>4</v>
      </c>
      <c r="T24" s="51"/>
      <c r="U24" s="523" t="s">
        <v>271</v>
      </c>
      <c r="V24" s="27">
        <f xml:space="preserve"> SUM(V13:V23)</f>
        <v>9100</v>
      </c>
      <c r="W24" s="522"/>
      <c r="X24" s="75">
        <f>SUM(X13:X23)</f>
        <v>0</v>
      </c>
      <c r="Y24" s="51">
        <v>4</v>
      </c>
      <c r="Z24" s="51"/>
      <c r="AA24" s="523" t="s">
        <v>271</v>
      </c>
      <c r="AB24" s="27">
        <f xml:space="preserve"> SUM(AB13:AB23)</f>
        <v>0</v>
      </c>
      <c r="AC24" s="522"/>
      <c r="AD24" s="92">
        <f>SUM(AD13:AD23)</f>
        <v>0</v>
      </c>
      <c r="AE24" s="524">
        <f>D24+J24+P24+V24+AB24</f>
        <v>19700</v>
      </c>
    </row>
    <row r="25" spans="1:31" ht="16.2" customHeight="1">
      <c r="A25" s="51"/>
      <c r="B25" s="51"/>
      <c r="G25" s="51"/>
      <c r="H25" s="51"/>
      <c r="I25" s="489"/>
      <c r="J25" s="489"/>
      <c r="K25" s="489"/>
      <c r="L25" s="489"/>
      <c r="M25" s="51"/>
      <c r="N25" s="51"/>
      <c r="O25" s="489"/>
      <c r="P25" s="489"/>
      <c r="Q25" s="489"/>
      <c r="R25" s="489"/>
      <c r="S25" s="51"/>
      <c r="T25" s="51"/>
      <c r="U25" s="489"/>
      <c r="V25" s="489"/>
      <c r="W25" s="489"/>
      <c r="X25" s="489"/>
      <c r="Y25" s="51"/>
      <c r="Z25" s="51"/>
      <c r="AA25" s="489"/>
      <c r="AB25" s="489"/>
      <c r="AD25" s="527" t="s">
        <v>244</v>
      </c>
      <c r="AE25" s="93">
        <f>A大阪市北区折込部数+M大阪市北区折込部数+S大阪市北区折込部数+Y大阪市北区折込部数+AD24</f>
        <v>0</v>
      </c>
    </row>
    <row r="26" spans="1:31" ht="16.2" customHeight="1">
      <c r="A26" s="51">
        <v>2</v>
      </c>
      <c r="B26" s="488" t="s">
        <v>1391</v>
      </c>
      <c r="C26" s="46" t="s">
        <v>14</v>
      </c>
      <c r="D26" s="30" ph="1"/>
      <c r="E26" s="24"/>
      <c r="F26" s="506"/>
      <c r="G26" s="51">
        <v>2</v>
      </c>
      <c r="H26" s="488" t="s">
        <v>1391</v>
      </c>
      <c r="I26" s="508"/>
      <c r="J26" s="509"/>
      <c r="K26" s="23"/>
      <c r="L26" s="509"/>
      <c r="M26" s="51">
        <v>2</v>
      </c>
      <c r="N26" s="488" t="s">
        <v>1391</v>
      </c>
      <c r="O26" s="508"/>
      <c r="P26" s="509"/>
      <c r="Q26" s="23"/>
      <c r="R26" s="509"/>
      <c r="S26" s="51">
        <v>2</v>
      </c>
      <c r="T26" s="488" t="s">
        <v>1391</v>
      </c>
      <c r="U26" s="508"/>
      <c r="V26" s="509"/>
      <c r="W26" s="23"/>
      <c r="X26" s="509"/>
      <c r="Y26" s="51">
        <v>2</v>
      </c>
      <c r="Z26" s="488" t="s">
        <v>1391</v>
      </c>
      <c r="AA26" s="508"/>
      <c r="AB26" s="509"/>
      <c r="AC26" s="23"/>
      <c r="AD26" s="509"/>
      <c r="AE26" s="506"/>
    </row>
    <row r="27" spans="1:31" ht="16.2" customHeight="1">
      <c r="A27" s="51">
        <v>3</v>
      </c>
      <c r="B27" s="51">
        <v>72037</v>
      </c>
      <c r="C27" s="441" t="s">
        <v>1357</v>
      </c>
      <c r="D27" s="148">
        <v>2800</v>
      </c>
      <c r="E27" s="740"/>
      <c r="F27" s="404"/>
      <c r="G27" s="51">
        <v>3</v>
      </c>
      <c r="H27" s="51">
        <v>73037</v>
      </c>
      <c r="I27" s="441" t="s">
        <v>16</v>
      </c>
      <c r="J27" s="148">
        <v>1200</v>
      </c>
      <c r="K27" s="511"/>
      <c r="L27" s="404"/>
      <c r="M27" s="51">
        <v>3</v>
      </c>
      <c r="N27" s="51">
        <v>75051</v>
      </c>
      <c r="O27" s="386" t="s">
        <v>18</v>
      </c>
      <c r="P27" s="148">
        <v>750</v>
      </c>
      <c r="Q27" s="740"/>
      <c r="R27" s="404"/>
      <c r="S27" s="51">
        <v>3</v>
      </c>
      <c r="T27" s="51">
        <v>74047</v>
      </c>
      <c r="U27" s="386" t="s">
        <v>1620</v>
      </c>
      <c r="V27" s="148">
        <v>3650</v>
      </c>
      <c r="W27" s="511"/>
      <c r="X27" s="404"/>
      <c r="Y27" s="51">
        <v>3</v>
      </c>
      <c r="Z27" s="51"/>
      <c r="AA27" s="703"/>
      <c r="AB27" s="215"/>
      <c r="AC27" s="511"/>
      <c r="AD27" s="129"/>
      <c r="AE27" s="513"/>
    </row>
    <row r="28" spans="1:31" ht="16.2" customHeight="1">
      <c r="A28" s="51">
        <v>3</v>
      </c>
      <c r="B28" s="51"/>
      <c r="C28" s="386"/>
      <c r="D28" s="143"/>
      <c r="E28" s="515"/>
      <c r="F28" s="405"/>
      <c r="G28" s="51">
        <v>3</v>
      </c>
      <c r="H28" s="51">
        <v>73039</v>
      </c>
      <c r="I28" s="386" t="s">
        <v>15</v>
      </c>
      <c r="J28" s="143">
        <v>1100</v>
      </c>
      <c r="K28" s="515"/>
      <c r="L28" s="405"/>
      <c r="M28" s="51">
        <v>3</v>
      </c>
      <c r="N28" s="51">
        <v>75053</v>
      </c>
      <c r="O28" s="386" t="s">
        <v>15</v>
      </c>
      <c r="P28" s="149">
        <v>2100</v>
      </c>
      <c r="Q28" s="515"/>
      <c r="R28" s="405"/>
      <c r="S28" s="51">
        <v>3</v>
      </c>
      <c r="T28" s="51">
        <v>74049</v>
      </c>
      <c r="U28" s="386" t="s">
        <v>15</v>
      </c>
      <c r="V28" s="446" t="s">
        <v>1618</v>
      </c>
      <c r="W28" s="515"/>
      <c r="X28" s="405"/>
      <c r="Y28" s="51">
        <v>3</v>
      </c>
      <c r="Z28" s="51"/>
      <c r="AA28" s="512"/>
      <c r="AB28" s="139"/>
      <c r="AC28" s="515"/>
      <c r="AD28" s="132"/>
      <c r="AE28" s="516"/>
    </row>
    <row r="29" spans="1:31" ht="16.2" customHeight="1">
      <c r="A29" s="51">
        <v>3</v>
      </c>
      <c r="B29" s="51"/>
      <c r="C29" s="512"/>
      <c r="D29" s="139"/>
      <c r="E29" s="515"/>
      <c r="F29" s="132"/>
      <c r="G29" s="51">
        <v>3</v>
      </c>
      <c r="H29" s="51">
        <v>73041</v>
      </c>
      <c r="I29" s="386" t="s">
        <v>17</v>
      </c>
      <c r="J29" s="149">
        <v>650</v>
      </c>
      <c r="K29" s="515"/>
      <c r="L29" s="405"/>
      <c r="M29" s="51">
        <v>3</v>
      </c>
      <c r="N29" s="51"/>
      <c r="O29" s="512"/>
      <c r="P29" s="139"/>
      <c r="Q29" s="515"/>
      <c r="R29" s="132"/>
      <c r="S29" s="51">
        <v>3</v>
      </c>
      <c r="T29" s="51"/>
      <c r="U29" s="698"/>
      <c r="V29" s="143"/>
      <c r="W29" s="515"/>
      <c r="X29" s="405"/>
      <c r="Y29" s="51">
        <v>3</v>
      </c>
      <c r="Z29" s="51"/>
      <c r="AA29" s="512"/>
      <c r="AB29" s="139"/>
      <c r="AC29" s="515"/>
      <c r="AD29" s="132"/>
      <c r="AE29" s="516"/>
    </row>
    <row r="30" spans="1:31" ht="16.2" customHeight="1">
      <c r="A30" s="51">
        <v>3</v>
      </c>
      <c r="B30" s="51"/>
      <c r="C30" s="512"/>
      <c r="D30" s="139"/>
      <c r="E30" s="515"/>
      <c r="F30" s="132"/>
      <c r="G30" s="51">
        <v>3</v>
      </c>
      <c r="H30" s="51"/>
      <c r="I30" s="512"/>
      <c r="J30" s="265"/>
      <c r="K30" s="515"/>
      <c r="L30" s="132"/>
      <c r="M30" s="51">
        <v>3</v>
      </c>
      <c r="N30" s="51"/>
      <c r="O30" s="512"/>
      <c r="P30" s="139"/>
      <c r="Q30" s="515"/>
      <c r="R30" s="132"/>
      <c r="S30" s="51">
        <v>3</v>
      </c>
      <c r="T30" s="51"/>
      <c r="U30" s="512"/>
      <c r="V30" s="139"/>
      <c r="W30" s="515"/>
      <c r="X30" s="132"/>
      <c r="Y30" s="51">
        <v>3</v>
      </c>
      <c r="Z30" s="51"/>
      <c r="AA30" s="520"/>
      <c r="AB30" s="208"/>
      <c r="AC30" s="519"/>
      <c r="AD30" s="133"/>
      <c r="AE30" s="516"/>
    </row>
    <row r="31" spans="1:31" ht="16.2" customHeight="1">
      <c r="A31" s="51">
        <v>3</v>
      </c>
      <c r="B31" s="51"/>
      <c r="C31" s="512"/>
      <c r="D31" s="139"/>
      <c r="E31" s="515"/>
      <c r="F31" s="132"/>
      <c r="G31" s="51">
        <v>3</v>
      </c>
      <c r="H31" s="51"/>
      <c r="I31" s="512"/>
      <c r="J31" s="218"/>
      <c r="K31" s="515"/>
      <c r="L31" s="132"/>
      <c r="M31" s="51">
        <v>3</v>
      </c>
      <c r="N31" s="51"/>
      <c r="O31" s="520"/>
      <c r="P31" s="139"/>
      <c r="Q31" s="515"/>
      <c r="R31" s="132"/>
      <c r="S31" s="51">
        <v>3</v>
      </c>
      <c r="T31" s="51"/>
      <c r="U31" s="512"/>
      <c r="V31" s="139"/>
      <c r="W31" s="515"/>
      <c r="X31" s="132"/>
      <c r="Y31" s="51">
        <v>3</v>
      </c>
      <c r="Z31" s="51"/>
      <c r="AA31" s="512"/>
      <c r="AB31" s="139"/>
      <c r="AC31" s="515"/>
      <c r="AD31" s="132"/>
      <c r="AE31" s="516"/>
    </row>
    <row r="32" spans="1:31" ht="16.2" customHeight="1">
      <c r="A32" s="51">
        <v>3</v>
      </c>
      <c r="B32" s="51"/>
      <c r="C32" s="512"/>
      <c r="D32" s="139"/>
      <c r="E32" s="515"/>
      <c r="F32" s="132"/>
      <c r="G32" s="51">
        <v>3</v>
      </c>
      <c r="H32" s="51"/>
      <c r="I32" s="512"/>
      <c r="J32" s="139"/>
      <c r="K32" s="515"/>
      <c r="L32" s="132"/>
      <c r="M32" s="51">
        <v>3</v>
      </c>
      <c r="N32" s="51"/>
      <c r="O32" s="512"/>
      <c r="P32" s="139"/>
      <c r="Q32" s="515"/>
      <c r="R32" s="132"/>
      <c r="S32" s="51">
        <v>3</v>
      </c>
      <c r="T32" s="51"/>
      <c r="U32" s="512"/>
      <c r="V32" s="139"/>
      <c r="W32" s="515"/>
      <c r="X32" s="132"/>
      <c r="Y32" s="51">
        <v>3</v>
      </c>
      <c r="Z32" s="51"/>
      <c r="AA32" s="517"/>
      <c r="AB32" s="741"/>
      <c r="AC32" s="741"/>
      <c r="AD32" s="219"/>
      <c r="AE32" s="516"/>
    </row>
    <row r="33" spans="1:31" ht="16.2" customHeight="1">
      <c r="A33" s="51">
        <v>3</v>
      </c>
      <c r="B33" s="51"/>
      <c r="C33" s="520"/>
      <c r="D33" s="208" t="s">
        <v>272</v>
      </c>
      <c r="E33" s="515"/>
      <c r="F33" s="132"/>
      <c r="G33" s="51">
        <v>3</v>
      </c>
      <c r="H33" s="51"/>
      <c r="I33" s="512"/>
      <c r="J33" s="139"/>
      <c r="K33" s="531"/>
      <c r="L33" s="132"/>
      <c r="M33" s="51">
        <v>3</v>
      </c>
      <c r="N33" s="51"/>
      <c r="O33" s="512"/>
      <c r="P33" s="139"/>
      <c r="Q33" s="515"/>
      <c r="R33" s="132"/>
      <c r="S33" s="51">
        <v>3</v>
      </c>
      <c r="T33" s="51"/>
      <c r="U33" s="512"/>
      <c r="V33" s="139"/>
      <c r="W33" s="515"/>
      <c r="X33" s="132"/>
      <c r="Y33" s="51">
        <v>3</v>
      </c>
      <c r="Z33" s="51"/>
      <c r="AA33" s="517"/>
      <c r="AB33" s="592"/>
      <c r="AC33" s="179"/>
      <c r="AD33" s="220"/>
      <c r="AE33" s="516"/>
    </row>
    <row r="34" spans="1:31" ht="16.2" customHeight="1">
      <c r="A34" s="51">
        <v>3</v>
      </c>
      <c r="B34" s="51"/>
      <c r="C34" s="520"/>
      <c r="D34" s="208" t="s">
        <v>272</v>
      </c>
      <c r="E34" s="519"/>
      <c r="F34" s="132"/>
      <c r="G34" s="51">
        <v>3</v>
      </c>
      <c r="H34" s="51"/>
      <c r="I34" s="512"/>
      <c r="J34" s="139"/>
      <c r="K34" s="515"/>
      <c r="L34" s="132" t="s">
        <v>1237</v>
      </c>
      <c r="M34" s="51">
        <v>3</v>
      </c>
      <c r="N34" s="51"/>
      <c r="O34" s="512"/>
      <c r="P34" s="139"/>
      <c r="Q34" s="515"/>
      <c r="R34" s="132"/>
      <c r="S34" s="51">
        <v>3</v>
      </c>
      <c r="T34" s="51"/>
      <c r="U34" s="512"/>
      <c r="V34" s="139"/>
      <c r="W34" s="515"/>
      <c r="X34" s="132"/>
      <c r="Y34" s="51">
        <v>3</v>
      </c>
      <c r="Z34" s="51"/>
      <c r="AA34" s="512"/>
      <c r="AB34" s="139"/>
      <c r="AC34" s="142"/>
      <c r="AD34" s="132"/>
      <c r="AE34" s="516"/>
    </row>
    <row r="35" spans="1:31" ht="16.2" customHeight="1" thickBot="1">
      <c r="A35" s="51">
        <v>3</v>
      </c>
      <c r="B35" s="51"/>
      <c r="C35" s="520"/>
      <c r="D35" s="208" t="s">
        <v>272</v>
      </c>
      <c r="E35" s="519"/>
      <c r="F35" s="133"/>
      <c r="G35" s="51">
        <v>3</v>
      </c>
      <c r="H35" s="51"/>
      <c r="I35" s="520"/>
      <c r="J35" s="208"/>
      <c r="K35" s="519"/>
      <c r="L35" s="133"/>
      <c r="M35" s="51">
        <v>3</v>
      </c>
      <c r="N35" s="51"/>
      <c r="O35" s="520"/>
      <c r="P35" s="208"/>
      <c r="Q35" s="519"/>
      <c r="R35" s="133"/>
      <c r="S35" s="51">
        <v>3</v>
      </c>
      <c r="T35" s="51"/>
      <c r="U35" s="701"/>
      <c r="V35" s="209"/>
      <c r="W35" s="556"/>
      <c r="X35" s="134"/>
      <c r="Y35" s="51">
        <v>3</v>
      </c>
      <c r="Z35" s="51"/>
      <c r="AA35" s="701"/>
      <c r="AB35" s="209"/>
      <c r="AC35" s="742"/>
      <c r="AD35" s="134"/>
      <c r="AE35" s="516"/>
    </row>
    <row r="36" spans="1:31" ht="16.2" customHeight="1" thickTop="1">
      <c r="A36" s="51">
        <v>4</v>
      </c>
      <c r="B36" s="51"/>
      <c r="C36" s="523" t="s">
        <v>273</v>
      </c>
      <c r="D36" s="145">
        <f>SUM(D27:D35)</f>
        <v>2800</v>
      </c>
      <c r="E36" s="522"/>
      <c r="F36" s="144">
        <f>SUM(F27:F35)</f>
        <v>0</v>
      </c>
      <c r="G36" s="51">
        <v>4</v>
      </c>
      <c r="H36" s="51"/>
      <c r="I36" s="523" t="s">
        <v>273</v>
      </c>
      <c r="J36" s="145">
        <f>SUM(J27:J35)</f>
        <v>2950</v>
      </c>
      <c r="K36" s="522"/>
      <c r="L36" s="144">
        <f>SUM(L27:L35)</f>
        <v>0</v>
      </c>
      <c r="M36" s="51">
        <v>4</v>
      </c>
      <c r="N36" s="51"/>
      <c r="O36" s="523" t="s">
        <v>273</v>
      </c>
      <c r="P36" s="145">
        <f>SUM(P27:P35)</f>
        <v>2850</v>
      </c>
      <c r="Q36" s="522"/>
      <c r="R36" s="144">
        <f>SUM(R27:R35)</f>
        <v>0</v>
      </c>
      <c r="S36" s="51">
        <v>4</v>
      </c>
      <c r="T36" s="51"/>
      <c r="U36" s="523" t="s">
        <v>273</v>
      </c>
      <c r="V36" s="145">
        <f>SUM(V27:V35)</f>
        <v>3650</v>
      </c>
      <c r="W36" s="522"/>
      <c r="X36" s="144">
        <f>SUM(X27:X35)</f>
        <v>0</v>
      </c>
      <c r="Y36" s="51">
        <v>4</v>
      </c>
      <c r="Z36" s="51"/>
      <c r="AA36" s="523" t="s">
        <v>273</v>
      </c>
      <c r="AB36" s="145">
        <f>SUM(AB27:AB35)</f>
        <v>0</v>
      </c>
      <c r="AC36" s="522"/>
      <c r="AD36" s="144">
        <f>SUM(AD27:AD35)</f>
        <v>0</v>
      </c>
      <c r="AE36" s="524">
        <f>D36+J36+P36+V36+AB36</f>
        <v>12250</v>
      </c>
    </row>
    <row r="37" spans="1:31" ht="16.2" customHeight="1">
      <c r="A37" s="51">
        <v>9</v>
      </c>
      <c r="B37" s="51"/>
      <c r="C37" s="847">
        <v>0</v>
      </c>
      <c r="D37" s="847"/>
      <c r="E37" s="847"/>
      <c r="F37" s="847"/>
      <c r="G37" s="51">
        <v>9</v>
      </c>
      <c r="H37" s="51"/>
      <c r="I37" s="526"/>
      <c r="J37" s="210"/>
      <c r="K37" s="526"/>
      <c r="L37" s="526"/>
      <c r="M37" s="51">
        <v>9</v>
      </c>
      <c r="N37" s="51"/>
      <c r="O37" s="526"/>
      <c r="P37" s="526"/>
      <c r="Q37" s="526"/>
      <c r="R37" s="526"/>
      <c r="S37" s="51">
        <v>9</v>
      </c>
      <c r="T37" s="51"/>
      <c r="U37" s="743"/>
      <c r="V37" s="210"/>
      <c r="W37" s="526"/>
      <c r="X37" s="526"/>
      <c r="Y37" s="51">
        <v>9</v>
      </c>
      <c r="Z37" s="51"/>
      <c r="AA37" s="489"/>
      <c r="AB37" s="150"/>
      <c r="AD37" s="527" t="s">
        <v>412</v>
      </c>
      <c r="AE37" s="151">
        <f>A大阪市福島区折込部数+M大阪市福島区折込部数+S大阪市福島区折込部数+Y大阪市福島区折込部数+AD36</f>
        <v>0</v>
      </c>
    </row>
    <row r="38" spans="1:31">
      <c r="C38" s="744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</row>
    <row r="39" spans="1:31">
      <c r="C39" s="744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</row>
    <row r="40" spans="1:31"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</row>
    <row r="41" spans="1:31"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</row>
    <row r="42" spans="1:31"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</row>
    <row r="43" spans="1:31"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</row>
    <row r="44" spans="1:31"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</row>
    <row r="45" spans="1:31"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</row>
    <row r="46" spans="1:31"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</row>
    <row r="47" spans="1:31"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1:31"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3:31"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3:31"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3:31"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3:31"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3:31"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3:31"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</row>
    <row r="55" spans="3:31"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3:31"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</row>
    <row r="57" spans="3:31"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</row>
    <row r="58" spans="3:3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</row>
    <row r="59" spans="3:31"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</row>
    <row r="60" spans="3:31"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</row>
    <row r="61" spans="3:31"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</row>
    <row r="62" spans="3:31"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</row>
    <row r="63" spans="3:31"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</row>
    <row r="64" spans="3:31"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</row>
    <row r="65" spans="3:31"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</row>
    <row r="66" spans="3:31"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</row>
    <row r="67" spans="3:31"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</row>
    <row r="68" spans="3:3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</row>
    <row r="69" spans="3:31"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</row>
    <row r="70" spans="3:31"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</row>
    <row r="71" spans="3:31"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</row>
    <row r="72" spans="3:31"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3:31"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</row>
    <row r="74" spans="3:31"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</row>
    <row r="75" spans="3:31"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</row>
    <row r="76" spans="3:31"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</row>
    <row r="77" spans="3:31"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</row>
  </sheetData>
  <sheetProtection formatCells="0"/>
  <mergeCells count="15">
    <mergeCell ref="C37:F37"/>
    <mergeCell ref="W7:X7"/>
    <mergeCell ref="C2:F3"/>
    <mergeCell ref="AA10:AD10"/>
    <mergeCell ref="W5:X5"/>
    <mergeCell ref="D5:L6"/>
    <mergeCell ref="C10:F10"/>
    <mergeCell ref="I10:L10"/>
    <mergeCell ref="O10:R10"/>
    <mergeCell ref="U10:X10"/>
    <mergeCell ref="D7:L8"/>
    <mergeCell ref="P5:V6"/>
    <mergeCell ref="P7:Q8"/>
    <mergeCell ref="AA5:AC6"/>
    <mergeCell ref="AA7:AE8"/>
  </mergeCells>
  <phoneticPr fontId="2"/>
  <conditionalFormatting sqref="F13:F18 L13:L18 R13:R18 X13:X18 F27:F31 L27:L31 R27:R31 X27:X31">
    <cfRule type="cellIs" dxfId="50" priority="8" operator="greaterThan">
      <formula>D13</formula>
    </cfRule>
  </conditionalFormatting>
  <hyperlinks>
    <hyperlink ref="C2:F3" location="提案表紙!A1" display="大阪府折込資料表" xr:uid="{00000000-0004-0000-06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&amp;L北区･福島区&amp;RP-3/34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B6D2F5"/>
    <pageSetUpPr fitToPage="1"/>
  </sheetPr>
  <dimension ref="A1:AE90"/>
  <sheetViews>
    <sheetView showZeros="0" topLeftCell="C2" zoomScaleNormal="100" workbookViewId="0">
      <selection activeCell="C2" sqref="C2:F3"/>
    </sheetView>
  </sheetViews>
  <sheetFormatPr defaultColWidth="9" defaultRowHeight="16.2" customHeight="1"/>
  <cols>
    <col min="1" max="2" width="8.6640625" hidden="1" customWidth="1"/>
    <col min="3" max="3" width="13.6640625" customWidth="1"/>
    <col min="4" max="4" width="6.7773437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4" width="8.6640625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6" width="8.6640625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t="13.2" hidden="1">
      <c r="A1" s="338" t="s">
        <v>1369</v>
      </c>
      <c r="B1" s="51" t="s">
        <v>1370</v>
      </c>
      <c r="C1" s="22"/>
      <c r="F1" s="51" t="s">
        <v>301</v>
      </c>
      <c r="G1" s="338" t="s">
        <v>1369</v>
      </c>
      <c r="H1" s="51" t="s">
        <v>1370</v>
      </c>
      <c r="L1" s="51" t="s">
        <v>301</v>
      </c>
      <c r="M1" s="338" t="s">
        <v>1369</v>
      </c>
      <c r="N1" s="51" t="s">
        <v>1370</v>
      </c>
      <c r="O1" s="18"/>
      <c r="R1" s="51" t="s">
        <v>301</v>
      </c>
      <c r="S1" s="338" t="s">
        <v>1369</v>
      </c>
      <c r="T1" s="51" t="s">
        <v>1370</v>
      </c>
      <c r="U1" s="18"/>
      <c r="X1" s="51" t="s">
        <v>301</v>
      </c>
      <c r="Y1" s="338" t="s">
        <v>1369</v>
      </c>
      <c r="Z1" s="51" t="s">
        <v>1370</v>
      </c>
      <c r="AA1" s="18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S2" s="51"/>
      <c r="W2" s="500"/>
      <c r="X2" s="500" t="s">
        <v>1313</v>
      </c>
    </row>
    <row r="3" spans="1:31" ht="13.5" customHeight="1">
      <c r="C3" s="835"/>
      <c r="D3" s="835"/>
      <c r="E3" s="835"/>
      <c r="F3" s="835"/>
      <c r="G3" s="460"/>
      <c r="H3" s="460"/>
      <c r="I3" s="114" t="s">
        <v>561</v>
      </c>
      <c r="S3" s="51"/>
      <c r="W3" s="500"/>
      <c r="X3" s="500" t="s">
        <v>1501</v>
      </c>
    </row>
    <row r="4" spans="1:31" ht="13.5" customHeight="1">
      <c r="C4" t="s">
        <v>317</v>
      </c>
      <c r="I4" s="187">
        <v>45627</v>
      </c>
      <c r="J4" s="186" t="s">
        <v>0</v>
      </c>
      <c r="K4" t="s">
        <v>272</v>
      </c>
      <c r="S4" s="51"/>
      <c r="W4" s="500"/>
      <c r="X4" s="500" t="s">
        <v>1500</v>
      </c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2"/>
      <c r="N5" s="463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2"/>
      <c r="N6" s="463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2"/>
      <c r="N7" s="463"/>
      <c r="O7" s="7" t="s">
        <v>298</v>
      </c>
      <c r="P7" s="827">
        <f>提案表紙!G9</f>
        <v>0</v>
      </c>
      <c r="Q7" s="828"/>
      <c r="R7" s="7" t="s">
        <v>249</v>
      </c>
      <c r="U7" s="410">
        <f>大阪市都島区折込部数+大阪市旭区折込部数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2"/>
      <c r="N8" s="463"/>
      <c r="O8" s="207"/>
      <c r="P8" s="829"/>
      <c r="Q8" s="830"/>
      <c r="R8" s="9" t="s">
        <v>250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/>
    <row r="10" spans="1:31" ht="16.2" customHeight="1">
      <c r="A10" s="51">
        <v>1</v>
      </c>
      <c r="B10" s="51">
        <v>2</v>
      </c>
      <c r="C10" s="818" t="s">
        <v>229</v>
      </c>
      <c r="D10" s="819"/>
      <c r="E10" s="819"/>
      <c r="F10" s="820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726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726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726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726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726" t="s">
        <v>231</v>
      </c>
      <c r="AE11" s="507" t="s">
        <v>308</v>
      </c>
    </row>
    <row r="12" spans="1:31" ht="16.2" customHeight="1">
      <c r="A12" s="51">
        <v>2</v>
      </c>
      <c r="B12" s="488" t="s">
        <v>1392</v>
      </c>
      <c r="C12" s="46" t="s">
        <v>19</v>
      </c>
      <c r="D12" s="152"/>
      <c r="E12" s="11"/>
      <c r="F12" s="464"/>
      <c r="G12" s="51">
        <v>2</v>
      </c>
      <c r="H12" s="488" t="s">
        <v>1392</v>
      </c>
      <c r="I12" s="464"/>
      <c r="J12" s="211"/>
      <c r="K12" s="464"/>
      <c r="L12" s="464"/>
      <c r="M12" s="51">
        <v>2</v>
      </c>
      <c r="N12" s="488" t="s">
        <v>1392</v>
      </c>
      <c r="O12" s="489"/>
      <c r="P12" s="211"/>
      <c r="Q12" s="464"/>
      <c r="R12" s="464"/>
      <c r="S12" s="51">
        <v>2</v>
      </c>
      <c r="T12" s="488" t="s">
        <v>1392</v>
      </c>
      <c r="U12" s="464"/>
      <c r="V12" s="211"/>
      <c r="W12" s="464"/>
      <c r="X12" s="464"/>
      <c r="Y12" s="51">
        <v>2</v>
      </c>
      <c r="Z12" s="488" t="s">
        <v>1392</v>
      </c>
      <c r="AA12" s="737"/>
      <c r="AB12" s="211"/>
      <c r="AC12" s="11"/>
      <c r="AD12" s="11"/>
    </row>
    <row r="13" spans="1:31" ht="16.2" customHeight="1">
      <c r="A13" s="51">
        <v>3</v>
      </c>
      <c r="B13" s="51">
        <v>72039</v>
      </c>
      <c r="C13" s="441" t="s">
        <v>20</v>
      </c>
      <c r="D13" s="143">
        <v>3250</v>
      </c>
      <c r="E13" s="511"/>
      <c r="F13" s="404"/>
      <c r="G13" s="51">
        <v>3</v>
      </c>
      <c r="H13" s="51">
        <v>73043</v>
      </c>
      <c r="I13" s="386" t="s">
        <v>25</v>
      </c>
      <c r="J13" s="148">
        <v>2750</v>
      </c>
      <c r="K13" s="511"/>
      <c r="L13" s="404"/>
      <c r="M13" s="51">
        <v>3</v>
      </c>
      <c r="N13" s="51">
        <v>75055</v>
      </c>
      <c r="O13" s="441" t="s">
        <v>23</v>
      </c>
      <c r="P13" s="143">
        <v>2000</v>
      </c>
      <c r="Q13" s="511"/>
      <c r="R13" s="404"/>
      <c r="S13" s="51">
        <v>3</v>
      </c>
      <c r="T13" s="51">
        <v>74053</v>
      </c>
      <c r="U13" s="441" t="s">
        <v>25</v>
      </c>
      <c r="V13" s="148">
        <v>1150</v>
      </c>
      <c r="W13" s="511"/>
      <c r="X13" s="404"/>
      <c r="Y13" s="51">
        <v>3</v>
      </c>
      <c r="Z13" s="51"/>
      <c r="AA13" s="692"/>
      <c r="AB13" s="226"/>
      <c r="AC13" s="738"/>
      <c r="AD13" s="190"/>
      <c r="AE13" s="513"/>
    </row>
    <row r="14" spans="1:31" ht="16.2" customHeight="1">
      <c r="A14" s="51">
        <v>3</v>
      </c>
      <c r="B14" s="51"/>
      <c r="C14" s="386"/>
      <c r="D14" s="143"/>
      <c r="E14" s="515"/>
      <c r="F14" s="405"/>
      <c r="G14" s="51">
        <v>3</v>
      </c>
      <c r="H14" s="51">
        <v>73045</v>
      </c>
      <c r="I14" s="386" t="s">
        <v>23</v>
      </c>
      <c r="J14" s="143">
        <v>2800</v>
      </c>
      <c r="K14" s="515"/>
      <c r="L14" s="405"/>
      <c r="M14" s="51">
        <v>3</v>
      </c>
      <c r="N14" s="51">
        <v>75057</v>
      </c>
      <c r="O14" s="386" t="s">
        <v>22</v>
      </c>
      <c r="P14" s="143">
        <v>1000</v>
      </c>
      <c r="Q14" s="515"/>
      <c r="R14" s="405"/>
      <c r="S14" s="51">
        <v>3</v>
      </c>
      <c r="T14" s="51">
        <v>74055</v>
      </c>
      <c r="U14" s="386" t="s">
        <v>22</v>
      </c>
      <c r="V14" s="143">
        <v>900</v>
      </c>
      <c r="W14" s="515"/>
      <c r="X14" s="405"/>
      <c r="Y14" s="51">
        <v>3</v>
      </c>
      <c r="Z14" s="51"/>
      <c r="AA14" s="512"/>
      <c r="AB14" s="139"/>
      <c r="AC14" s="179"/>
      <c r="AD14" s="191"/>
      <c r="AE14" s="516"/>
    </row>
    <row r="15" spans="1:31" ht="16.2" customHeight="1">
      <c r="A15" s="51">
        <v>3</v>
      </c>
      <c r="B15" s="51"/>
      <c r="C15" s="386"/>
      <c r="D15" s="143"/>
      <c r="E15" s="515"/>
      <c r="F15" s="396"/>
      <c r="G15" s="51">
        <v>3</v>
      </c>
      <c r="H15" s="51"/>
      <c r="I15" s="386"/>
      <c r="J15" s="143"/>
      <c r="K15" s="515"/>
      <c r="L15" s="405"/>
      <c r="M15" s="51">
        <v>3</v>
      </c>
      <c r="N15" s="51">
        <v>75059</v>
      </c>
      <c r="O15" s="386" t="s">
        <v>21</v>
      </c>
      <c r="P15" s="143">
        <v>600</v>
      </c>
      <c r="Q15" s="515"/>
      <c r="R15" s="405"/>
      <c r="S15" s="51">
        <v>3</v>
      </c>
      <c r="T15" s="51">
        <v>74057</v>
      </c>
      <c r="U15" s="386" t="s">
        <v>23</v>
      </c>
      <c r="V15" s="143">
        <v>1650</v>
      </c>
      <c r="W15" s="515"/>
      <c r="X15" s="405"/>
      <c r="Y15" s="51">
        <v>3</v>
      </c>
      <c r="Z15" s="51"/>
      <c r="AA15" s="512"/>
      <c r="AB15" s="139"/>
      <c r="AC15" s="543"/>
      <c r="AD15" s="157"/>
      <c r="AE15" s="516"/>
    </row>
    <row r="16" spans="1:31" ht="16.2" customHeight="1">
      <c r="A16" s="51">
        <v>3</v>
      </c>
      <c r="B16" s="51"/>
      <c r="C16" s="512"/>
      <c r="D16" s="139"/>
      <c r="E16" s="515"/>
      <c r="F16" s="132"/>
      <c r="G16" s="51">
        <v>3</v>
      </c>
      <c r="H16" s="51"/>
      <c r="I16" s="512"/>
      <c r="J16" s="139"/>
      <c r="K16" s="515"/>
      <c r="L16" s="132"/>
      <c r="M16" s="51">
        <v>3</v>
      </c>
      <c r="N16" s="51">
        <v>75061</v>
      </c>
      <c r="O16" s="386" t="s">
        <v>24</v>
      </c>
      <c r="P16" s="143">
        <v>800</v>
      </c>
      <c r="Q16" s="515" t="s">
        <v>241</v>
      </c>
      <c r="R16" s="405"/>
      <c r="S16" s="51">
        <v>3</v>
      </c>
      <c r="T16" s="51">
        <v>74059</v>
      </c>
      <c r="U16" s="512" t="s">
        <v>1220</v>
      </c>
      <c r="V16" s="139">
        <v>550</v>
      </c>
      <c r="W16" s="515"/>
      <c r="X16" s="405"/>
      <c r="Y16" s="51">
        <v>3</v>
      </c>
      <c r="Z16" s="51"/>
      <c r="AA16" s="512"/>
      <c r="AB16" s="139"/>
      <c r="AC16" s="515"/>
      <c r="AD16" s="132"/>
      <c r="AE16" s="516"/>
    </row>
    <row r="17" spans="1:31" ht="16.2" customHeight="1">
      <c r="A17" s="51">
        <v>3</v>
      </c>
      <c r="B17" s="51"/>
      <c r="C17" s="512"/>
      <c r="D17" s="515"/>
      <c r="E17" s="515"/>
      <c r="F17" s="132"/>
      <c r="G17" s="51">
        <v>3</v>
      </c>
      <c r="H17" s="51"/>
      <c r="I17" s="512"/>
      <c r="J17" s="515"/>
      <c r="K17" s="515"/>
      <c r="L17" s="132"/>
      <c r="M17" s="51">
        <v>3</v>
      </c>
      <c r="N17" s="51"/>
      <c r="O17" s="512"/>
      <c r="P17" s="139"/>
      <c r="Q17" s="515"/>
      <c r="R17" s="157"/>
      <c r="S17" s="51">
        <v>3</v>
      </c>
      <c r="T17" s="51"/>
      <c r="U17" s="512"/>
      <c r="V17" s="139"/>
      <c r="W17" s="515"/>
      <c r="X17" s="157"/>
      <c r="Y17" s="51">
        <v>3</v>
      </c>
      <c r="Z17" s="51"/>
      <c r="AA17" s="512"/>
      <c r="AB17" s="139"/>
      <c r="AC17" s="515"/>
      <c r="AD17" s="132"/>
      <c r="AE17" s="516"/>
    </row>
    <row r="18" spans="1:31" ht="16.2" customHeight="1">
      <c r="A18" s="51">
        <v>3</v>
      </c>
      <c r="B18" s="51"/>
      <c r="C18" s="512"/>
      <c r="D18" s="515"/>
      <c r="E18" s="515"/>
      <c r="F18" s="132"/>
      <c r="G18" s="51">
        <v>3</v>
      </c>
      <c r="H18" s="51"/>
      <c r="I18" s="512"/>
      <c r="J18" s="515"/>
      <c r="K18" s="515"/>
      <c r="L18" s="132"/>
      <c r="M18" s="51">
        <v>3</v>
      </c>
      <c r="N18" s="51"/>
      <c r="O18" s="512"/>
      <c r="P18" s="139"/>
      <c r="Q18" s="515"/>
      <c r="R18" s="132"/>
      <c r="S18" s="51">
        <v>3</v>
      </c>
      <c r="T18" s="51"/>
      <c r="U18" s="512"/>
      <c r="V18" s="139"/>
      <c r="W18" s="515"/>
      <c r="X18" s="132"/>
      <c r="Y18" s="51">
        <v>3</v>
      </c>
      <c r="Z18" s="51"/>
      <c r="AA18" s="512"/>
      <c r="AB18" s="139"/>
      <c r="AC18" s="515"/>
      <c r="AD18" s="132"/>
      <c r="AE18" s="516"/>
    </row>
    <row r="19" spans="1:31" ht="16.2" customHeight="1" thickBot="1">
      <c r="A19" s="51">
        <v>3</v>
      </c>
      <c r="B19" s="51"/>
      <c r="C19" s="520"/>
      <c r="D19" s="519"/>
      <c r="E19" s="519"/>
      <c r="F19" s="133"/>
      <c r="G19" s="51">
        <v>3</v>
      </c>
      <c r="H19" s="51"/>
      <c r="I19" s="520"/>
      <c r="J19" s="519"/>
      <c r="K19" s="519"/>
      <c r="L19" s="133"/>
      <c r="M19" s="51">
        <v>3</v>
      </c>
      <c r="N19" s="51"/>
      <c r="O19" s="520"/>
      <c r="P19" s="208"/>
      <c r="Q19" s="519"/>
      <c r="R19" s="133"/>
      <c r="S19" s="51">
        <v>3</v>
      </c>
      <c r="T19" s="51"/>
      <c r="U19" s="520"/>
      <c r="V19" s="208"/>
      <c r="W19" s="519"/>
      <c r="X19" s="133"/>
      <c r="Y19" s="51">
        <v>3</v>
      </c>
      <c r="Z19" s="51"/>
      <c r="AA19" s="520"/>
      <c r="AB19" s="208"/>
      <c r="AC19" s="519"/>
      <c r="AD19" s="133"/>
      <c r="AE19" s="516"/>
    </row>
    <row r="20" spans="1:31" ht="16.2" customHeight="1" thickTop="1">
      <c r="A20" s="51">
        <v>4</v>
      </c>
      <c r="B20" s="51"/>
      <c r="C20" s="523" t="s">
        <v>271</v>
      </c>
      <c r="D20" s="535">
        <f xml:space="preserve"> SUM(D13:D19)</f>
        <v>3250</v>
      </c>
      <c r="E20" s="522"/>
      <c r="F20" s="144">
        <f>SUM(F13:F19)</f>
        <v>0</v>
      </c>
      <c r="G20" s="51">
        <v>4</v>
      </c>
      <c r="H20" s="51"/>
      <c r="I20" s="523" t="s">
        <v>271</v>
      </c>
      <c r="J20" s="535">
        <f xml:space="preserve"> SUM(J13:J19)</f>
        <v>5550</v>
      </c>
      <c r="K20" s="522"/>
      <c r="L20" s="144">
        <f>SUM(L13:L19)</f>
        <v>0</v>
      </c>
      <c r="M20" s="51">
        <v>4</v>
      </c>
      <c r="N20" s="51"/>
      <c r="O20" s="523" t="s">
        <v>271</v>
      </c>
      <c r="P20" s="535">
        <f xml:space="preserve"> SUM(P13:P19)</f>
        <v>4400</v>
      </c>
      <c r="Q20" s="522"/>
      <c r="R20" s="144">
        <f>SUM(R13:R19)</f>
        <v>0</v>
      </c>
      <c r="S20" s="51">
        <v>4</v>
      </c>
      <c r="T20" s="51"/>
      <c r="U20" s="523" t="s">
        <v>271</v>
      </c>
      <c r="V20" s="145">
        <f xml:space="preserve"> SUM(V13:V19)</f>
        <v>4250</v>
      </c>
      <c r="W20" s="522"/>
      <c r="X20" s="144">
        <f>SUM(X13:X19)</f>
        <v>0</v>
      </c>
      <c r="Y20" s="51">
        <v>4</v>
      </c>
      <c r="Z20" s="51"/>
      <c r="AA20" s="523" t="s">
        <v>271</v>
      </c>
      <c r="AB20" s="145">
        <f xml:space="preserve"> SUM(AB13:AB19)</f>
        <v>0</v>
      </c>
      <c r="AC20" s="522"/>
      <c r="AD20" s="144">
        <f>SUM(AD13:AD19)</f>
        <v>0</v>
      </c>
      <c r="AE20" s="524">
        <f>D20+J20+P20+V20+AB20</f>
        <v>17450</v>
      </c>
    </row>
    <row r="21" spans="1:31" ht="16.2" customHeight="1">
      <c r="A21" s="51"/>
      <c r="B21" s="51"/>
      <c r="G21" s="51"/>
      <c r="H21" s="51"/>
      <c r="I21" s="489"/>
      <c r="J21" s="489"/>
      <c r="K21" s="489"/>
      <c r="L21" s="489"/>
      <c r="M21" s="51"/>
      <c r="N21" s="51"/>
      <c r="O21" s="489"/>
      <c r="P21" s="489"/>
      <c r="Q21" s="489"/>
      <c r="R21" s="489"/>
      <c r="S21" s="51"/>
      <c r="T21" s="51"/>
      <c r="U21" s="489"/>
      <c r="V21" s="489"/>
      <c r="W21" s="489"/>
      <c r="X21" s="489"/>
      <c r="Y21" s="51"/>
      <c r="Z21" s="51"/>
      <c r="AA21" s="489"/>
      <c r="AB21" s="489"/>
      <c r="AD21" s="527" t="s">
        <v>244</v>
      </c>
      <c r="AE21" s="153">
        <f>A大阪市都島区折込部数+M大阪市都島区折込部数+S大阪市都島区折込部数+Y大阪市都島区折込部数+AD20</f>
        <v>0</v>
      </c>
    </row>
    <row r="22" spans="1:31" ht="16.2" customHeight="1">
      <c r="A22" s="51">
        <v>2</v>
      </c>
      <c r="B22" s="488" t="s">
        <v>1393</v>
      </c>
      <c r="C22" s="46" t="s">
        <v>26</v>
      </c>
      <c r="D22" s="30" ph="1"/>
      <c r="E22" s="24"/>
      <c r="F22" s="506"/>
      <c r="G22" s="51">
        <v>2</v>
      </c>
      <c r="H22" s="488" t="s">
        <v>1393</v>
      </c>
      <c r="I22" s="508"/>
      <c r="J22" s="509"/>
      <c r="K22" s="23"/>
      <c r="L22" s="509"/>
      <c r="M22" s="51">
        <v>2</v>
      </c>
      <c r="N22" s="488" t="s">
        <v>1393</v>
      </c>
      <c r="O22" s="508"/>
      <c r="P22" s="509"/>
      <c r="Q22" s="23"/>
      <c r="R22" s="509"/>
      <c r="S22" s="51">
        <v>2</v>
      </c>
      <c r="T22" s="488" t="s">
        <v>1393</v>
      </c>
      <c r="U22" s="508"/>
      <c r="V22" s="509"/>
      <c r="W22" s="23"/>
      <c r="X22" s="509"/>
      <c r="Y22" s="51">
        <v>2</v>
      </c>
      <c r="Z22" s="488" t="s">
        <v>1393</v>
      </c>
      <c r="AA22" s="508"/>
      <c r="AB22" s="509"/>
      <c r="AC22" s="23"/>
      <c r="AD22" s="72"/>
      <c r="AE22" s="506"/>
    </row>
    <row r="23" spans="1:31" ht="16.2" customHeight="1">
      <c r="A23" s="51">
        <v>3</v>
      </c>
      <c r="B23" s="51">
        <v>72043</v>
      </c>
      <c r="C23" s="441" t="s">
        <v>1570</v>
      </c>
      <c r="D23" s="148">
        <v>1600</v>
      </c>
      <c r="E23" s="136"/>
      <c r="F23" s="404"/>
      <c r="G23" s="51">
        <v>3</v>
      </c>
      <c r="H23" s="51">
        <v>73047</v>
      </c>
      <c r="I23" s="441" t="s">
        <v>90</v>
      </c>
      <c r="J23" s="148">
        <v>1850</v>
      </c>
      <c r="K23" s="136"/>
      <c r="L23" s="404"/>
      <c r="M23" s="51">
        <v>3</v>
      </c>
      <c r="N23" s="51">
        <v>75063</v>
      </c>
      <c r="O23" s="441" t="s">
        <v>1287</v>
      </c>
      <c r="P23" s="148">
        <v>1300</v>
      </c>
      <c r="Q23" s="136"/>
      <c r="R23" s="404"/>
      <c r="S23" s="51">
        <v>3</v>
      </c>
      <c r="T23" s="51">
        <v>74061</v>
      </c>
      <c r="U23" s="386" t="s">
        <v>29</v>
      </c>
      <c r="V23" s="143">
        <v>650</v>
      </c>
      <c r="W23" s="136"/>
      <c r="X23" s="404"/>
      <c r="Y23" s="51">
        <v>3</v>
      </c>
      <c r="Z23" s="51"/>
      <c r="AA23" s="703"/>
      <c r="AB23" s="215"/>
      <c r="AC23" s="136"/>
      <c r="AD23" s="129"/>
      <c r="AE23" s="513"/>
    </row>
    <row r="24" spans="1:31" ht="16.2" customHeight="1">
      <c r="A24" s="51">
        <v>3</v>
      </c>
      <c r="B24" s="51">
        <v>72045</v>
      </c>
      <c r="C24" s="386" t="s">
        <v>29</v>
      </c>
      <c r="D24" s="143">
        <v>1600</v>
      </c>
      <c r="E24" s="154"/>
      <c r="F24" s="405"/>
      <c r="G24" s="51">
        <v>3</v>
      </c>
      <c r="H24" s="51">
        <v>73049</v>
      </c>
      <c r="I24" s="350" t="s">
        <v>992</v>
      </c>
      <c r="J24" s="143">
        <v>1550</v>
      </c>
      <c r="K24" s="154"/>
      <c r="L24" s="405"/>
      <c r="M24" s="51">
        <v>3</v>
      </c>
      <c r="N24" s="51"/>
      <c r="O24" s="386"/>
      <c r="P24" s="143"/>
      <c r="Q24" s="137"/>
      <c r="R24" s="405"/>
      <c r="S24" s="51">
        <v>3</v>
      </c>
      <c r="T24" s="51">
        <v>74063</v>
      </c>
      <c r="U24" s="386" t="s">
        <v>30</v>
      </c>
      <c r="V24" s="143">
        <v>1300</v>
      </c>
      <c r="W24" s="154"/>
      <c r="X24" s="405"/>
      <c r="Y24" s="51">
        <v>3</v>
      </c>
      <c r="Z24" s="51"/>
      <c r="AA24" s="512"/>
      <c r="AB24" s="139"/>
      <c r="AC24" s="137"/>
      <c r="AD24" s="132"/>
      <c r="AE24" s="516"/>
    </row>
    <row r="25" spans="1:31" ht="16.2" customHeight="1">
      <c r="A25" s="51">
        <v>3</v>
      </c>
      <c r="B25" s="51"/>
      <c r="C25" s="386"/>
      <c r="D25" s="143"/>
      <c r="E25" s="137"/>
      <c r="F25" s="405"/>
      <c r="G25" s="51">
        <v>3</v>
      </c>
      <c r="H25" s="51">
        <v>73051</v>
      </c>
      <c r="I25" s="386" t="s">
        <v>31</v>
      </c>
      <c r="J25" s="143">
        <v>1000</v>
      </c>
      <c r="K25" s="137"/>
      <c r="L25" s="405"/>
      <c r="M25" s="51">
        <v>3</v>
      </c>
      <c r="N25" s="51"/>
      <c r="O25" s="386"/>
      <c r="P25" s="143"/>
      <c r="Q25" s="137"/>
      <c r="R25" s="405"/>
      <c r="S25" s="51">
        <v>3</v>
      </c>
      <c r="T25" s="51">
        <v>74065</v>
      </c>
      <c r="U25" s="386" t="s">
        <v>27</v>
      </c>
      <c r="V25" s="143">
        <v>1350</v>
      </c>
      <c r="W25" s="137"/>
      <c r="X25" s="405"/>
      <c r="Y25" s="51">
        <v>3</v>
      </c>
      <c r="Z25" s="51"/>
      <c r="AA25" s="512"/>
      <c r="AB25" s="139"/>
      <c r="AC25" s="137"/>
      <c r="AD25" s="132"/>
      <c r="AE25" s="516"/>
    </row>
    <row r="26" spans="1:31" ht="16.2" customHeight="1">
      <c r="A26" s="51">
        <v>3</v>
      </c>
      <c r="B26" s="51"/>
      <c r="C26" s="512"/>
      <c r="D26" s="139"/>
      <c r="E26" s="137"/>
      <c r="F26" s="157"/>
      <c r="G26" s="51">
        <v>3</v>
      </c>
      <c r="H26" s="51"/>
      <c r="I26" s="514"/>
      <c r="J26" s="143"/>
      <c r="K26" s="137"/>
      <c r="L26" s="405"/>
      <c r="M26" s="51">
        <v>3</v>
      </c>
      <c r="N26" s="51"/>
      <c r="O26" s="386"/>
      <c r="P26" s="143"/>
      <c r="Q26" s="137"/>
      <c r="R26" s="405"/>
      <c r="S26" s="51">
        <v>3</v>
      </c>
      <c r="T26" s="51">
        <v>74067</v>
      </c>
      <c r="U26" s="386" t="s">
        <v>1219</v>
      </c>
      <c r="V26" s="143">
        <v>750</v>
      </c>
      <c r="W26" s="137"/>
      <c r="X26" s="405"/>
      <c r="Y26" s="51">
        <v>3</v>
      </c>
      <c r="Z26" s="51"/>
      <c r="AA26" s="512"/>
      <c r="AB26" s="139"/>
      <c r="AC26" s="137"/>
      <c r="AD26" s="132"/>
      <c r="AE26" s="516"/>
    </row>
    <row r="27" spans="1:31" ht="16.2" customHeight="1">
      <c r="A27" s="51">
        <v>3</v>
      </c>
      <c r="B27" s="51"/>
      <c r="C27" s="512"/>
      <c r="D27" s="139"/>
      <c r="E27" s="137"/>
      <c r="F27" s="132"/>
      <c r="G27" s="51">
        <v>3</v>
      </c>
      <c r="H27" s="51"/>
      <c r="I27" s="517"/>
      <c r="J27" s="139"/>
      <c r="K27" s="137"/>
      <c r="L27" s="132"/>
      <c r="M27" s="51">
        <v>3</v>
      </c>
      <c r="N27" s="51"/>
      <c r="O27" s="512"/>
      <c r="P27" s="139"/>
      <c r="Q27" s="137"/>
      <c r="R27" s="157"/>
      <c r="S27" s="51">
        <v>3</v>
      </c>
      <c r="T27" s="51">
        <v>74069</v>
      </c>
      <c r="U27" s="386" t="s">
        <v>28</v>
      </c>
      <c r="V27" s="143">
        <v>1050</v>
      </c>
      <c r="W27" s="137"/>
      <c r="X27" s="405"/>
      <c r="Y27" s="51">
        <v>3</v>
      </c>
      <c r="Z27" s="51"/>
      <c r="AA27" s="512"/>
      <c r="AB27" s="139"/>
      <c r="AC27" s="137"/>
      <c r="AD27" s="132"/>
      <c r="AE27" s="516"/>
    </row>
    <row r="28" spans="1:31" ht="16.2" customHeight="1">
      <c r="A28" s="51">
        <v>3</v>
      </c>
      <c r="B28" s="51"/>
      <c r="C28" s="512"/>
      <c r="D28" s="139"/>
      <c r="E28" s="137"/>
      <c r="F28" s="132"/>
      <c r="G28" s="51">
        <v>3</v>
      </c>
      <c r="H28" s="51"/>
      <c r="I28" s="512"/>
      <c r="J28" s="139"/>
      <c r="K28" s="142"/>
      <c r="L28" s="132"/>
      <c r="M28" s="51">
        <v>3</v>
      </c>
      <c r="N28" s="51"/>
      <c r="O28" s="512"/>
      <c r="P28" s="139"/>
      <c r="Q28" s="142"/>
      <c r="R28" s="132"/>
      <c r="S28" s="51">
        <v>3</v>
      </c>
      <c r="T28" s="51"/>
      <c r="U28" s="512"/>
      <c r="V28" s="139"/>
      <c r="W28" s="137"/>
      <c r="X28" s="157"/>
      <c r="Y28" s="51">
        <v>3</v>
      </c>
      <c r="Z28" s="51"/>
      <c r="AA28" s="512"/>
      <c r="AB28" s="139"/>
      <c r="AC28" s="137"/>
      <c r="AD28" s="132"/>
      <c r="AE28" s="516"/>
    </row>
    <row r="29" spans="1:31" ht="16.2" customHeight="1">
      <c r="A29" s="51">
        <v>3</v>
      </c>
      <c r="B29" s="51"/>
      <c r="C29" s="512"/>
      <c r="D29" s="139"/>
      <c r="E29" s="142"/>
      <c r="F29" s="132"/>
      <c r="G29" s="51">
        <v>3</v>
      </c>
      <c r="H29" s="51"/>
      <c r="I29" s="533"/>
      <c r="J29" s="139"/>
      <c r="K29" s="142"/>
      <c r="L29" s="132"/>
      <c r="M29" s="51">
        <v>3</v>
      </c>
      <c r="N29" s="51"/>
      <c r="O29" s="512"/>
      <c r="P29" s="139"/>
      <c r="Q29" s="142"/>
      <c r="R29" s="132"/>
      <c r="S29" s="51">
        <v>3</v>
      </c>
      <c r="T29" s="51"/>
      <c r="U29" s="512"/>
      <c r="V29" s="139"/>
      <c r="W29" s="142"/>
      <c r="X29" s="132"/>
      <c r="Y29" s="51">
        <v>3</v>
      </c>
      <c r="Z29" s="51"/>
      <c r="AA29" s="512"/>
      <c r="AB29" s="139"/>
      <c r="AC29" s="137"/>
      <c r="AD29" s="132"/>
      <c r="AE29" s="516"/>
    </row>
    <row r="30" spans="1:31" ht="16.2" customHeight="1">
      <c r="A30" s="51">
        <v>3</v>
      </c>
      <c r="B30" s="51"/>
      <c r="C30" s="512"/>
      <c r="D30" s="139"/>
      <c r="E30" s="142"/>
      <c r="F30" s="132"/>
      <c r="G30" s="51">
        <v>3</v>
      </c>
      <c r="H30" s="51"/>
      <c r="I30" s="533"/>
      <c r="J30" s="139"/>
      <c r="K30" s="142"/>
      <c r="L30" s="132"/>
      <c r="M30" s="51">
        <v>3</v>
      </c>
      <c r="N30" s="51"/>
      <c r="O30" s="512"/>
      <c r="P30" s="139"/>
      <c r="Q30" s="142"/>
      <c r="R30" s="132"/>
      <c r="S30" s="51">
        <v>3</v>
      </c>
      <c r="T30" s="51"/>
      <c r="U30" s="512"/>
      <c r="V30" s="139"/>
      <c r="W30" s="142"/>
      <c r="X30" s="132"/>
      <c r="Y30" s="51">
        <v>3</v>
      </c>
      <c r="Z30" s="51"/>
      <c r="AA30" s="512"/>
      <c r="AB30" s="139"/>
      <c r="AC30" s="137"/>
      <c r="AD30" s="132"/>
      <c r="AE30" s="516"/>
    </row>
    <row r="31" spans="1:31" ht="16.2" customHeight="1">
      <c r="A31" s="51">
        <v>3</v>
      </c>
      <c r="B31" s="51"/>
      <c r="C31" s="512"/>
      <c r="D31" s="139"/>
      <c r="E31" s="142"/>
      <c r="F31" s="132"/>
      <c r="G31" s="51">
        <v>3</v>
      </c>
      <c r="H31" s="51"/>
      <c r="I31" s="533"/>
      <c r="J31" s="139"/>
      <c r="K31" s="137"/>
      <c r="L31" s="132"/>
      <c r="M31" s="51">
        <v>3</v>
      </c>
      <c r="N31" s="51"/>
      <c r="O31" s="512"/>
      <c r="P31" s="139"/>
      <c r="Q31" s="142"/>
      <c r="R31" s="132"/>
      <c r="S31" s="51">
        <v>3</v>
      </c>
      <c r="T31" s="51"/>
      <c r="U31" s="512"/>
      <c r="V31" s="139"/>
      <c r="W31" s="142"/>
      <c r="X31" s="132"/>
      <c r="Y31" s="51">
        <v>3</v>
      </c>
      <c r="Z31" s="51"/>
      <c r="AA31" s="512"/>
      <c r="AB31" s="139"/>
      <c r="AC31" s="137"/>
      <c r="AD31" s="132"/>
      <c r="AE31" s="516"/>
    </row>
    <row r="32" spans="1:31" ht="16.2" customHeight="1">
      <c r="A32" s="51">
        <v>3</v>
      </c>
      <c r="B32" s="51"/>
      <c r="C32" s="512"/>
      <c r="D32" s="139"/>
      <c r="E32" s="142"/>
      <c r="F32" s="132"/>
      <c r="G32" s="51">
        <v>3</v>
      </c>
      <c r="H32" s="51"/>
      <c r="I32" s="221"/>
      <c r="J32" s="221"/>
      <c r="K32" s="137"/>
      <c r="L32" s="132"/>
      <c r="M32" s="51">
        <v>3</v>
      </c>
      <c r="N32" s="51"/>
      <c r="O32" s="512"/>
      <c r="P32" s="139"/>
      <c r="Q32" s="142"/>
      <c r="R32" s="132"/>
      <c r="S32" s="51">
        <v>3</v>
      </c>
      <c r="T32" s="51"/>
      <c r="U32" s="512"/>
      <c r="V32" s="139"/>
      <c r="W32" s="142"/>
      <c r="X32" s="132"/>
      <c r="Y32" s="51">
        <v>3</v>
      </c>
      <c r="Z32" s="51"/>
      <c r="AA32" s="512"/>
      <c r="AB32" s="139"/>
      <c r="AC32" s="137"/>
      <c r="AD32" s="132" t="s">
        <v>303</v>
      </c>
      <c r="AE32" s="516"/>
    </row>
    <row r="33" spans="1:31" ht="16.2" customHeight="1" thickBot="1">
      <c r="A33" s="51">
        <v>3</v>
      </c>
      <c r="B33" s="51"/>
      <c r="C33" s="520"/>
      <c r="D33" s="208"/>
      <c r="E33" s="138"/>
      <c r="F33" s="133"/>
      <c r="G33" s="51">
        <v>3</v>
      </c>
      <c r="H33" s="51"/>
      <c r="I33" s="520"/>
      <c r="J33" s="208"/>
      <c r="K33" s="138"/>
      <c r="L33" s="133"/>
      <c r="M33" s="51">
        <v>3</v>
      </c>
      <c r="N33" s="51"/>
      <c r="O33" s="520"/>
      <c r="P33" s="208"/>
      <c r="Q33" s="138"/>
      <c r="R33" s="133"/>
      <c r="S33" s="51">
        <v>3</v>
      </c>
      <c r="T33" s="51"/>
      <c r="U33" s="520"/>
      <c r="V33" s="208"/>
      <c r="W33" s="138"/>
      <c r="X33" s="133"/>
      <c r="Y33" s="51">
        <v>3</v>
      </c>
      <c r="Z33" s="51"/>
      <c r="AA33" s="520"/>
      <c r="AB33" s="208"/>
      <c r="AC33" s="138"/>
      <c r="AD33" s="133"/>
      <c r="AE33" s="516"/>
    </row>
    <row r="34" spans="1:31" ht="16.2" customHeight="1" thickTop="1">
      <c r="A34" s="51">
        <v>4</v>
      </c>
      <c r="B34" s="51"/>
      <c r="C34" s="523" t="s">
        <v>273</v>
      </c>
      <c r="D34" s="27">
        <f>SUM(D23:D33)</f>
        <v>3200</v>
      </c>
      <c r="E34" s="28"/>
      <c r="F34" s="75">
        <f>SUM(F23:F33)</f>
        <v>0</v>
      </c>
      <c r="G34" s="51">
        <v>4</v>
      </c>
      <c r="H34" s="51"/>
      <c r="I34" s="523" t="s">
        <v>273</v>
      </c>
      <c r="J34" s="27">
        <f>SUM(J23:J33)</f>
        <v>4400</v>
      </c>
      <c r="K34" s="28"/>
      <c r="L34" s="75">
        <f>SUM(L23:L33)</f>
        <v>0</v>
      </c>
      <c r="M34" s="51">
        <v>4</v>
      </c>
      <c r="N34" s="51"/>
      <c r="O34" s="523" t="s">
        <v>273</v>
      </c>
      <c r="P34" s="27">
        <f>SUM(P23:P33)</f>
        <v>1300</v>
      </c>
      <c r="Q34" s="28"/>
      <c r="R34" s="75">
        <f>SUM(R23:R33)</f>
        <v>0</v>
      </c>
      <c r="S34" s="51">
        <v>4</v>
      </c>
      <c r="T34" s="51"/>
      <c r="U34" s="523" t="s">
        <v>273</v>
      </c>
      <c r="V34" s="27">
        <f>SUM(V23:V33)</f>
        <v>5100</v>
      </c>
      <c r="W34" s="28"/>
      <c r="X34" s="75">
        <f>SUM(X23:X33)</f>
        <v>0</v>
      </c>
      <c r="Y34" s="51">
        <v>4</v>
      </c>
      <c r="Z34" s="51"/>
      <c r="AA34" s="523" t="s">
        <v>273</v>
      </c>
      <c r="AB34" s="27">
        <f>SUM(AB23:AB33)</f>
        <v>0</v>
      </c>
      <c r="AC34" s="28"/>
      <c r="AD34" s="75">
        <f>SUM(AD23:AD33)</f>
        <v>0</v>
      </c>
      <c r="AE34" s="524">
        <f>D34+J34+P34+V34+AB34</f>
        <v>14000</v>
      </c>
    </row>
    <row r="35" spans="1:31" ht="16.2" customHeight="1">
      <c r="A35" s="51">
        <v>9</v>
      </c>
      <c r="B35" s="51"/>
      <c r="C35" s="222"/>
      <c r="D35" s="526"/>
      <c r="E35" s="526"/>
      <c r="F35" s="526"/>
      <c r="G35" s="51">
        <v>9</v>
      </c>
      <c r="H35" s="51"/>
      <c r="I35" s="526"/>
      <c r="J35" s="526"/>
      <c r="K35" s="526"/>
      <c r="L35" s="526"/>
      <c r="M35" s="51">
        <v>9</v>
      </c>
      <c r="N35" s="51"/>
      <c r="O35" s="736"/>
      <c r="P35" s="526"/>
      <c r="Q35" s="526"/>
      <c r="R35" s="210"/>
      <c r="S35" s="51">
        <v>9</v>
      </c>
      <c r="T35" s="51"/>
      <c r="U35" s="526"/>
      <c r="V35" s="210"/>
      <c r="W35" s="216"/>
      <c r="X35" s="526"/>
      <c r="Y35" s="51">
        <v>9</v>
      </c>
      <c r="Z35" s="51"/>
      <c r="AA35" s="526"/>
      <c r="AB35" s="210"/>
      <c r="AC35" s="31"/>
      <c r="AD35" s="527" t="s">
        <v>412</v>
      </c>
      <c r="AE35" s="93">
        <f>A大阪市旭区折込部数+M大阪市旭区折込部数+S大阪市旭区折込部数+Y大阪市旭区折込部数+AD34</f>
        <v>0</v>
      </c>
    </row>
    <row r="36" spans="1:31" ht="16.2" customHeight="1"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</row>
    <row r="37" spans="1:31" ht="16.2" customHeight="1"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</row>
    <row r="38" spans="1:31" ht="16.2" customHeight="1"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</row>
    <row r="39" spans="1:31" ht="16.2" customHeight="1"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18"/>
      <c r="V39" s="21"/>
      <c r="W39" s="489"/>
      <c r="X39" s="489"/>
      <c r="Y39" s="489"/>
      <c r="Z39" s="489"/>
      <c r="AA39" s="489"/>
      <c r="AB39" s="489"/>
      <c r="AC39" s="489"/>
      <c r="AD39" s="489"/>
      <c r="AE39" s="489"/>
    </row>
    <row r="40" spans="1:31" ht="16.2" customHeight="1"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18"/>
      <c r="V40" s="21"/>
      <c r="W40" s="489"/>
      <c r="X40" s="489"/>
      <c r="Y40" s="489"/>
      <c r="Z40" s="489"/>
      <c r="AA40" s="489"/>
      <c r="AB40" s="489"/>
      <c r="AC40" s="489"/>
      <c r="AD40" s="489"/>
      <c r="AE40" s="489"/>
    </row>
    <row r="41" spans="1:31" ht="16.2" customHeight="1">
      <c r="C41" s="489"/>
      <c r="D41" s="489"/>
      <c r="E41" s="489"/>
      <c r="F41" s="489"/>
      <c r="G41" s="489"/>
      <c r="H41" s="489"/>
      <c r="I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18"/>
      <c r="V41" s="21"/>
      <c r="W41" s="489"/>
      <c r="X41" s="489"/>
      <c r="Y41" s="489"/>
      <c r="Z41" s="489"/>
      <c r="AA41" s="489"/>
      <c r="AB41" s="489"/>
      <c r="AC41" s="489"/>
      <c r="AD41" s="489"/>
      <c r="AE41" s="489"/>
    </row>
    <row r="42" spans="1:31" ht="16.2" customHeight="1"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18"/>
      <c r="V42" s="21"/>
      <c r="W42" s="489"/>
      <c r="X42" s="489"/>
      <c r="Y42" s="489"/>
      <c r="Z42" s="489"/>
      <c r="AA42" s="489"/>
      <c r="AB42" s="489"/>
      <c r="AC42" s="489"/>
      <c r="AD42" s="489"/>
      <c r="AE42" s="489"/>
    </row>
    <row r="43" spans="1:31" ht="16.2" customHeight="1"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18"/>
      <c r="V43" s="21"/>
      <c r="W43" s="489"/>
      <c r="X43" s="489"/>
      <c r="Y43" s="489"/>
      <c r="Z43" s="489"/>
      <c r="AA43" s="489"/>
      <c r="AB43" s="489"/>
      <c r="AC43" s="489"/>
      <c r="AD43" s="489"/>
      <c r="AE43" s="489"/>
    </row>
    <row r="44" spans="1:31" ht="16.2" customHeight="1"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</row>
    <row r="45" spans="1:31" ht="16.2" customHeight="1"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</row>
    <row r="46" spans="1:31" ht="16.2" customHeight="1"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</row>
    <row r="47" spans="1:31" ht="16.2" customHeight="1"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1:31" ht="16.2" customHeight="1"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3:31" ht="16.2" customHeight="1"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3:31" ht="16.2" customHeight="1"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3:31" ht="16.2" customHeight="1"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3:31" ht="16.2" customHeight="1"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3:31" ht="16.2" customHeight="1"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3:31" ht="16.2" customHeight="1"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</row>
    <row r="55" spans="3:31" ht="16.2" customHeight="1"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3:31" ht="16.2" customHeight="1"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</row>
    <row r="57" spans="3:31" ht="16.2" customHeight="1"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</row>
    <row r="58" spans="3:31" ht="16.2" customHeight="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</row>
    <row r="59" spans="3:31" ht="16.2" customHeight="1"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</row>
    <row r="60" spans="3:31" ht="16.2" customHeight="1"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</row>
    <row r="61" spans="3:31" ht="16.2" customHeight="1"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</row>
    <row r="62" spans="3:31" ht="16.2" customHeight="1"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</row>
    <row r="63" spans="3:31" ht="16.2" customHeight="1"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</row>
    <row r="64" spans="3:31" ht="16.2" customHeight="1"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</row>
    <row r="65" spans="3:31" ht="16.2" customHeight="1"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</row>
    <row r="66" spans="3:31" ht="16.2" customHeight="1"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</row>
    <row r="67" spans="3:31" ht="16.2" customHeight="1"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</row>
    <row r="68" spans="3:31" ht="16.2" customHeight="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</row>
    <row r="69" spans="3:31" ht="16.2" customHeight="1"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</row>
    <row r="70" spans="3:31" ht="16.2" customHeight="1"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</row>
    <row r="71" spans="3:31" ht="16.2" customHeight="1"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</row>
    <row r="72" spans="3:31" ht="16.2" customHeight="1"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3:31" ht="16.2" customHeight="1"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</row>
    <row r="74" spans="3:31" ht="16.2" customHeight="1"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</row>
    <row r="75" spans="3:31" ht="16.2" customHeight="1"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</row>
    <row r="76" spans="3:31" ht="16.2" customHeight="1"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</row>
    <row r="77" spans="3:31" ht="16.2" customHeight="1"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</row>
    <row r="78" spans="3:31" ht="16.2" customHeight="1"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</row>
    <row r="79" spans="3:31" ht="16.2" customHeight="1"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</row>
    <row r="80" spans="3:31" ht="16.2" customHeight="1"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</row>
    <row r="81" spans="3:31" ht="16.2" customHeight="1"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</row>
    <row r="82" spans="3:31" ht="16.2" customHeight="1"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</row>
    <row r="83" spans="3:31" ht="16.2" customHeight="1"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</row>
    <row r="84" spans="3:31" ht="16.2" customHeight="1"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89"/>
    </row>
    <row r="85" spans="3:31" ht="16.2" customHeight="1"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</row>
    <row r="86" spans="3:31" ht="16.2" customHeight="1"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  <c r="V86" s="489"/>
      <c r="W86" s="489"/>
      <c r="X86" s="489"/>
      <c r="Y86" s="489"/>
      <c r="Z86" s="489"/>
      <c r="AA86" s="489"/>
      <c r="AB86" s="489"/>
      <c r="AC86" s="489"/>
      <c r="AD86" s="489"/>
      <c r="AE86" s="489"/>
    </row>
    <row r="87" spans="3:31" ht="16.2" customHeight="1">
      <c r="C87" s="489"/>
      <c r="D87" s="489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</row>
    <row r="88" spans="3:31" ht="16.2" customHeight="1"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</row>
    <row r="89" spans="3:31" ht="16.2" customHeight="1"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</row>
    <row r="90" spans="3:31" ht="16.2" customHeight="1"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89"/>
    </row>
  </sheetData>
  <sheetProtection formatCells="0"/>
  <mergeCells count="14">
    <mergeCell ref="C2:F3"/>
    <mergeCell ref="W5:X5"/>
    <mergeCell ref="D5:L6"/>
    <mergeCell ref="P5:V6"/>
    <mergeCell ref="AA5:AC6"/>
    <mergeCell ref="C10:F10"/>
    <mergeCell ref="AA10:AD10"/>
    <mergeCell ref="W7:X7"/>
    <mergeCell ref="I10:L10"/>
    <mergeCell ref="O10:R10"/>
    <mergeCell ref="U10:X10"/>
    <mergeCell ref="D7:L8"/>
    <mergeCell ref="P7:Q8"/>
    <mergeCell ref="AA7:AE8"/>
  </mergeCells>
  <phoneticPr fontId="2"/>
  <conditionalFormatting sqref="F13:F15">
    <cfRule type="cellIs" dxfId="49" priority="4" operator="greaterThan">
      <formula>D13</formula>
    </cfRule>
  </conditionalFormatting>
  <conditionalFormatting sqref="L13:L14">
    <cfRule type="cellIs" dxfId="48" priority="3" operator="greaterThan">
      <formula>J13</formula>
    </cfRule>
  </conditionalFormatting>
  <conditionalFormatting sqref="R13:R16 X13:X16">
    <cfRule type="cellIs" dxfId="47" priority="2" operator="greaterThan">
      <formula>P13</formula>
    </cfRule>
  </conditionalFormatting>
  <conditionalFormatting sqref="F23:F25 L23:L25 R23:R26 X23:X27">
    <cfRule type="cellIs" dxfId="46" priority="1" operator="greaterThan">
      <formula>D23</formula>
    </cfRule>
  </conditionalFormatting>
  <hyperlinks>
    <hyperlink ref="C2:F3" location="提案表紙!A1" display="大阪府折込資料表" xr:uid="{00000000-0004-0000-07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&amp;L都島区・旭区&amp;RP-4/34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B6D2F5"/>
    <pageSetUpPr fitToPage="1"/>
  </sheetPr>
  <dimension ref="A1:AE79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8" width="8.7773437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customWidth="1"/>
    <col min="13" max="14" width="8.6640625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customWidth="1"/>
    <col min="25" max="26" width="8.6640625" hidden="1" customWidth="1"/>
    <col min="27" max="27" width="13.33203125" customWidth="1"/>
    <col min="28" max="28" width="6.77734375" customWidth="1"/>
    <col min="29" max="29" width="3.33203125" style="15" customWidth="1"/>
    <col min="30" max="30" width="8.77734375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Q2"/>
      <c r="S2" s="51"/>
      <c r="W2" s="500"/>
      <c r="X2" s="500" t="s">
        <v>1313</v>
      </c>
      <c r="AC2"/>
    </row>
    <row r="3" spans="1:31" ht="13.5" customHeight="1">
      <c r="C3" s="835"/>
      <c r="D3" s="835"/>
      <c r="E3" s="835"/>
      <c r="F3" s="835"/>
      <c r="G3" s="460"/>
      <c r="H3" s="460"/>
      <c r="I3" s="114" t="s">
        <v>561</v>
      </c>
      <c r="K3"/>
      <c r="Q3"/>
      <c r="S3" s="51"/>
      <c r="W3" s="500"/>
      <c r="X3" s="500" t="s">
        <v>1501</v>
      </c>
      <c r="AC3"/>
    </row>
    <row r="4" spans="1:31" ht="13.5" customHeight="1">
      <c r="C4" t="s">
        <v>317</v>
      </c>
      <c r="E4"/>
      <c r="F4"/>
      <c r="G4"/>
      <c r="H4"/>
      <c r="I4" s="187">
        <v>45717</v>
      </c>
      <c r="J4" s="186" t="s">
        <v>0</v>
      </c>
      <c r="K4" t="s">
        <v>272</v>
      </c>
      <c r="Q4"/>
      <c r="S4" s="51"/>
      <c r="W4" s="500"/>
      <c r="X4" s="500" t="s">
        <v>1500</v>
      </c>
      <c r="AC4"/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299</v>
      </c>
      <c r="P7" s="827">
        <f>提案表紙!G9</f>
        <v>0</v>
      </c>
      <c r="Q7" s="828"/>
      <c r="R7" s="7" t="s">
        <v>249</v>
      </c>
      <c r="U7" s="410">
        <f>大阪市此花区折込部数+大阪市港区折込部数+大阪市大正区折込部数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250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Q9"/>
      <c r="W9"/>
      <c r="AC9"/>
    </row>
    <row r="10" spans="1:31" ht="16.2" customHeight="1">
      <c r="A10" s="51">
        <v>1</v>
      </c>
      <c r="B10" s="51">
        <v>2</v>
      </c>
      <c r="C10" s="818" t="s">
        <v>309</v>
      </c>
      <c r="D10" s="819"/>
      <c r="E10" s="819"/>
      <c r="F10" s="820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311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726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726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726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726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726" t="s">
        <v>231</v>
      </c>
      <c r="AE11" s="507" t="s">
        <v>308</v>
      </c>
    </row>
    <row r="12" spans="1:31" ht="16.2" customHeight="1">
      <c r="A12" s="51">
        <v>2</v>
      </c>
      <c r="B12" s="488" t="s">
        <v>1394</v>
      </c>
      <c r="C12" s="46" t="s">
        <v>32</v>
      </c>
      <c r="D12" s="12"/>
      <c r="E12" s="19"/>
      <c r="F12" s="223"/>
      <c r="G12" s="51">
        <v>2</v>
      </c>
      <c r="H12" s="488" t="s">
        <v>1394</v>
      </c>
      <c r="I12" s="464"/>
      <c r="J12" s="211"/>
      <c r="K12" s="212"/>
      <c r="L12" s="464"/>
      <c r="M12" s="51">
        <v>2</v>
      </c>
      <c r="N12" s="488" t="s">
        <v>1394</v>
      </c>
      <c r="O12" s="528"/>
      <c r="P12" s="211"/>
      <c r="Q12" s="212"/>
      <c r="R12" s="464"/>
      <c r="S12" s="51">
        <v>2</v>
      </c>
      <c r="T12" s="488" t="s">
        <v>1394</v>
      </c>
      <c r="U12" s="489"/>
      <c r="V12" s="211"/>
      <c r="W12" s="212"/>
      <c r="X12" s="464"/>
      <c r="Y12" s="51">
        <v>2</v>
      </c>
      <c r="Z12" s="488" t="s">
        <v>1394</v>
      </c>
      <c r="AA12" s="464"/>
      <c r="AB12" s="211"/>
      <c r="AC12" s="19"/>
      <c r="AD12" s="11"/>
    </row>
    <row r="13" spans="1:31" ht="16.2" customHeight="1">
      <c r="A13" s="51">
        <v>3</v>
      </c>
      <c r="B13" s="51"/>
      <c r="C13" s="441"/>
      <c r="D13" s="497"/>
      <c r="E13" s="136"/>
      <c r="F13" s="404"/>
      <c r="G13" s="51">
        <v>3</v>
      </c>
      <c r="H13" s="51">
        <v>73055</v>
      </c>
      <c r="I13" s="441" t="s">
        <v>33</v>
      </c>
      <c r="J13" s="267">
        <v>2800</v>
      </c>
      <c r="K13" s="136"/>
      <c r="L13" s="404"/>
      <c r="M13" s="51">
        <v>3</v>
      </c>
      <c r="N13" s="51">
        <v>75065</v>
      </c>
      <c r="O13" s="386" t="s">
        <v>34</v>
      </c>
      <c r="P13" s="143">
        <v>700</v>
      </c>
      <c r="Q13" s="136"/>
      <c r="R13" s="404"/>
      <c r="S13" s="51">
        <v>3</v>
      </c>
      <c r="T13" s="51">
        <v>74071</v>
      </c>
      <c r="U13" s="441" t="s">
        <v>36</v>
      </c>
      <c r="V13" s="148">
        <v>4650</v>
      </c>
      <c r="W13" s="136"/>
      <c r="X13" s="404"/>
      <c r="Y13" s="51">
        <v>3</v>
      </c>
      <c r="Z13" s="51"/>
      <c r="AA13" s="703"/>
      <c r="AB13" s="346"/>
      <c r="AC13" s="136"/>
      <c r="AD13" s="129"/>
      <c r="AE13" s="513"/>
    </row>
    <row r="14" spans="1:31" ht="16.2" customHeight="1">
      <c r="A14" s="51">
        <v>3</v>
      </c>
      <c r="B14" s="51"/>
      <c r="C14" s="512"/>
      <c r="D14" s="139"/>
      <c r="E14" s="137"/>
      <c r="F14" s="132"/>
      <c r="G14" s="51">
        <v>3</v>
      </c>
      <c r="H14" s="51"/>
      <c r="I14" s="386"/>
      <c r="J14" s="143"/>
      <c r="K14" s="137"/>
      <c r="L14" s="405"/>
      <c r="M14" s="51">
        <v>3</v>
      </c>
      <c r="N14" s="51">
        <v>75067</v>
      </c>
      <c r="O14" s="386" t="s">
        <v>35</v>
      </c>
      <c r="P14" s="143">
        <v>800</v>
      </c>
      <c r="Q14" s="137"/>
      <c r="R14" s="405"/>
      <c r="S14" s="51">
        <v>3</v>
      </c>
      <c r="T14" s="51"/>
      <c r="U14" s="498"/>
      <c r="V14" s="446"/>
      <c r="W14" s="137"/>
      <c r="X14" s="405"/>
      <c r="Y14" s="51">
        <v>3</v>
      </c>
      <c r="Z14" s="51"/>
      <c r="AA14" s="512"/>
      <c r="AB14" s="139"/>
      <c r="AC14" s="137"/>
      <c r="AD14" s="132"/>
      <c r="AE14" s="516"/>
    </row>
    <row r="15" spans="1:31" ht="16.2" customHeight="1">
      <c r="A15" s="51">
        <v>3</v>
      </c>
      <c r="B15" s="51"/>
      <c r="C15" s="512"/>
      <c r="D15" s="139"/>
      <c r="E15" s="137"/>
      <c r="F15" s="132"/>
      <c r="G15" s="51">
        <v>3</v>
      </c>
      <c r="H15" s="51"/>
      <c r="I15" s="386"/>
      <c r="J15" s="149"/>
      <c r="K15" s="137"/>
      <c r="L15" s="405"/>
      <c r="M15" s="51">
        <v>3</v>
      </c>
      <c r="N15" s="51"/>
      <c r="O15" s="512"/>
      <c r="P15" s="139"/>
      <c r="Q15" s="137"/>
      <c r="R15" s="132"/>
      <c r="S15" s="51">
        <v>3</v>
      </c>
      <c r="T15" s="51"/>
      <c r="U15" s="512"/>
      <c r="V15" s="218"/>
      <c r="W15" s="137"/>
      <c r="X15" s="132"/>
      <c r="Y15" s="51">
        <v>3</v>
      </c>
      <c r="Z15" s="51"/>
      <c r="AA15" s="512"/>
      <c r="AB15" s="139"/>
      <c r="AC15" s="137"/>
      <c r="AD15" s="132"/>
      <c r="AE15" s="516"/>
    </row>
    <row r="16" spans="1:31" ht="16.2" customHeight="1">
      <c r="A16" s="51">
        <v>3</v>
      </c>
      <c r="B16" s="51"/>
      <c r="C16" s="512"/>
      <c r="D16" s="139"/>
      <c r="E16" s="137"/>
      <c r="F16" s="132"/>
      <c r="G16" s="51">
        <v>3</v>
      </c>
      <c r="H16" s="51"/>
      <c r="I16" s="386"/>
      <c r="J16" s="143"/>
      <c r="K16" s="137"/>
      <c r="L16" s="405"/>
      <c r="M16" s="51">
        <v>3</v>
      </c>
      <c r="N16" s="51"/>
      <c r="O16" s="512"/>
      <c r="P16" s="139"/>
      <c r="Q16" s="137"/>
      <c r="R16" s="132"/>
      <c r="S16" s="51">
        <v>3</v>
      </c>
      <c r="T16" s="51"/>
      <c r="U16" s="512"/>
      <c r="V16" s="139"/>
      <c r="W16" s="137"/>
      <c r="X16" s="132"/>
      <c r="Y16" s="51">
        <v>3</v>
      </c>
      <c r="Z16" s="51"/>
      <c r="AA16" s="512"/>
      <c r="AB16" s="139"/>
      <c r="AC16" s="137"/>
      <c r="AD16" s="132"/>
      <c r="AE16" s="516"/>
    </row>
    <row r="17" spans="1:31" ht="16.2" customHeight="1">
      <c r="A17" s="51">
        <v>3</v>
      </c>
      <c r="B17" s="51"/>
      <c r="C17" s="512"/>
      <c r="D17" s="139"/>
      <c r="E17" s="137"/>
      <c r="F17" s="132"/>
      <c r="G17" s="51">
        <v>3</v>
      </c>
      <c r="H17" s="51"/>
      <c r="I17" s="512"/>
      <c r="J17" s="139"/>
      <c r="K17" s="137"/>
      <c r="L17" s="132"/>
      <c r="M17" s="51">
        <v>3</v>
      </c>
      <c r="N17" s="51"/>
      <c r="O17" s="512"/>
      <c r="P17" s="139"/>
      <c r="Q17" s="154"/>
      <c r="R17" s="132"/>
      <c r="S17" s="51">
        <v>3</v>
      </c>
      <c r="T17" s="51"/>
      <c r="U17" s="512"/>
      <c r="V17" s="139"/>
      <c r="W17" s="137"/>
      <c r="X17" s="132"/>
      <c r="Y17" s="51">
        <v>3</v>
      </c>
      <c r="Z17" s="51"/>
      <c r="AA17" s="512"/>
      <c r="AB17" s="139"/>
      <c r="AC17" s="137"/>
      <c r="AD17" s="132"/>
      <c r="AE17" s="516"/>
    </row>
    <row r="18" spans="1:31" ht="16.2" customHeight="1" thickBot="1">
      <c r="A18" s="51">
        <v>3</v>
      </c>
      <c r="B18" s="51"/>
      <c r="C18" s="520"/>
      <c r="D18" s="519"/>
      <c r="E18" s="138"/>
      <c r="F18" s="133"/>
      <c r="G18" s="51">
        <v>3</v>
      </c>
      <c r="H18" s="51"/>
      <c r="I18" s="520"/>
      <c r="J18" s="519"/>
      <c r="K18" s="138"/>
      <c r="L18" s="133"/>
      <c r="M18" s="51">
        <v>3</v>
      </c>
      <c r="N18" s="51"/>
      <c r="O18" s="520"/>
      <c r="P18" s="208"/>
      <c r="Q18" s="138"/>
      <c r="R18" s="133"/>
      <c r="S18" s="51">
        <v>3</v>
      </c>
      <c r="T18" s="51"/>
      <c r="U18" s="520"/>
      <c r="V18" s="208"/>
      <c r="W18" s="138"/>
      <c r="X18" s="133"/>
      <c r="Y18" s="51">
        <v>3</v>
      </c>
      <c r="Z18" s="51"/>
      <c r="AA18" s="520"/>
      <c r="AB18" s="208"/>
      <c r="AC18" s="138"/>
      <c r="AD18" s="133"/>
      <c r="AE18" s="516"/>
    </row>
    <row r="19" spans="1:31" ht="16.2" customHeight="1" thickTop="1">
      <c r="A19" s="51">
        <v>4</v>
      </c>
      <c r="B19" s="51"/>
      <c r="C19" s="523" t="s">
        <v>271</v>
      </c>
      <c r="D19" s="535">
        <f xml:space="preserve"> SUM(D13:D18)</f>
        <v>0</v>
      </c>
      <c r="E19" s="28"/>
      <c r="F19" s="75">
        <f>SUM(F13:F18)</f>
        <v>0</v>
      </c>
      <c r="G19" s="51">
        <v>4</v>
      </c>
      <c r="H19" s="51"/>
      <c r="I19" s="523" t="s">
        <v>271</v>
      </c>
      <c r="J19" s="535">
        <f xml:space="preserve"> SUM(J13:J18)</f>
        <v>2800</v>
      </c>
      <c r="K19" s="28"/>
      <c r="L19" s="75">
        <f>SUM(L13:L18)</f>
        <v>0</v>
      </c>
      <c r="M19" s="51">
        <v>4</v>
      </c>
      <c r="N19" s="51"/>
      <c r="O19" s="523" t="s">
        <v>271</v>
      </c>
      <c r="P19" s="535">
        <f xml:space="preserve"> SUM(P13:P18)</f>
        <v>1500</v>
      </c>
      <c r="Q19" s="28"/>
      <c r="R19" s="75">
        <f>SUM(R13:R18)</f>
        <v>0</v>
      </c>
      <c r="S19" s="51">
        <v>4</v>
      </c>
      <c r="T19" s="51"/>
      <c r="U19" s="523" t="s">
        <v>271</v>
      </c>
      <c r="V19" s="27">
        <f xml:space="preserve"> SUM(V13:V18)</f>
        <v>4650</v>
      </c>
      <c r="W19" s="28"/>
      <c r="X19" s="75">
        <f>SUM(X13:X18)</f>
        <v>0</v>
      </c>
      <c r="Y19" s="51">
        <v>4</v>
      </c>
      <c r="Z19" s="51"/>
      <c r="AA19" s="523" t="s">
        <v>271</v>
      </c>
      <c r="AB19" s="27">
        <f xml:space="preserve"> SUM(AB13:AB18)</f>
        <v>0</v>
      </c>
      <c r="AC19" s="28"/>
      <c r="AD19" s="75">
        <f>SUM(AD13:AD18)</f>
        <v>0</v>
      </c>
      <c r="AE19" s="524">
        <f>D19+J19+P19+V19+AB19</f>
        <v>8950</v>
      </c>
    </row>
    <row r="20" spans="1:31" ht="16.2" customHeight="1">
      <c r="A20" s="51"/>
      <c r="B20" s="51"/>
      <c r="F20"/>
      <c r="G20" s="51"/>
      <c r="H20" s="51"/>
      <c r="J20" s="489"/>
      <c r="K20" s="217"/>
      <c r="L20" s="489"/>
      <c r="M20" s="51"/>
      <c r="N20" s="51"/>
      <c r="O20" s="489"/>
      <c r="P20" s="489"/>
      <c r="Q20" s="217"/>
      <c r="R20" s="489"/>
      <c r="S20" s="51"/>
      <c r="T20" s="51"/>
      <c r="U20" s="489"/>
      <c r="V20" s="489"/>
      <c r="W20" s="489"/>
      <c r="X20" s="489"/>
      <c r="Y20" s="51"/>
      <c r="Z20" s="51"/>
      <c r="AA20" s="489"/>
      <c r="AB20" s="735"/>
      <c r="AD20" s="527" t="s">
        <v>244</v>
      </c>
      <c r="AE20" s="93">
        <f>A大阪市此花区折込部数+M大阪市此花区折込部数+S大阪市此花区折込部数+Y大阪市此花区折込部数+AD19</f>
        <v>0</v>
      </c>
    </row>
    <row r="21" spans="1:31" ht="16.2" customHeight="1">
      <c r="A21" s="51">
        <v>2</v>
      </c>
      <c r="B21" s="488" t="s">
        <v>1395</v>
      </c>
      <c r="C21" s="46" t="s">
        <v>37</v>
      </c>
      <c r="D21" s="30" ph="1"/>
      <c r="E21" s="24"/>
      <c r="F21" s="506"/>
      <c r="G21" s="51">
        <v>2</v>
      </c>
      <c r="H21" s="488" t="s">
        <v>1395</v>
      </c>
      <c r="I21" s="508"/>
      <c r="J21" s="509"/>
      <c r="K21" s="23"/>
      <c r="L21" s="509"/>
      <c r="M21" s="51">
        <v>2</v>
      </c>
      <c r="N21" s="488" t="s">
        <v>1395</v>
      </c>
      <c r="O21" s="508"/>
      <c r="P21" s="509"/>
      <c r="Q21" s="23"/>
      <c r="R21" s="509"/>
      <c r="S21" s="51">
        <v>2</v>
      </c>
      <c r="T21" s="488" t="s">
        <v>1395</v>
      </c>
      <c r="U21" s="508"/>
      <c r="V21" s="509"/>
      <c r="W21" s="23"/>
      <c r="X21" s="509"/>
      <c r="Y21" s="51">
        <v>2</v>
      </c>
      <c r="Z21" s="488" t="s">
        <v>1395</v>
      </c>
      <c r="AA21" s="508"/>
      <c r="AB21" s="509"/>
      <c r="AC21" s="23"/>
      <c r="AD21" s="509"/>
      <c r="AE21" s="506"/>
    </row>
    <row r="22" spans="1:31" ht="16.2" customHeight="1">
      <c r="A22" s="51">
        <v>3</v>
      </c>
      <c r="B22" s="51">
        <v>72053</v>
      </c>
      <c r="C22" s="441" t="s">
        <v>1227</v>
      </c>
      <c r="D22" s="267">
        <v>400</v>
      </c>
      <c r="E22" s="511"/>
      <c r="F22" s="404"/>
      <c r="G22" s="51">
        <v>3</v>
      </c>
      <c r="H22" s="51">
        <v>73057</v>
      </c>
      <c r="I22" s="441" t="s">
        <v>1282</v>
      </c>
      <c r="J22" s="148">
        <v>3300</v>
      </c>
      <c r="K22" s="511"/>
      <c r="L22" s="404"/>
      <c r="M22" s="51">
        <v>3</v>
      </c>
      <c r="N22" s="51">
        <v>75069</v>
      </c>
      <c r="O22" s="386" t="s">
        <v>1074</v>
      </c>
      <c r="P22" s="267">
        <v>1150</v>
      </c>
      <c r="Q22" s="511"/>
      <c r="R22" s="404"/>
      <c r="S22" s="51">
        <v>3</v>
      </c>
      <c r="T22" s="51">
        <v>74075</v>
      </c>
      <c r="U22" s="441" t="s">
        <v>39</v>
      </c>
      <c r="V22" s="148">
        <v>950</v>
      </c>
      <c r="W22" s="511"/>
      <c r="X22" s="404"/>
      <c r="Y22" s="51">
        <v>3</v>
      </c>
      <c r="Z22" s="51"/>
      <c r="AA22" s="703"/>
      <c r="AB22" s="215"/>
      <c r="AC22" s="511"/>
      <c r="AD22" s="129"/>
      <c r="AE22" s="513"/>
    </row>
    <row r="23" spans="1:31" ht="16.2" customHeight="1">
      <c r="A23" s="51">
        <v>3</v>
      </c>
      <c r="B23" s="51"/>
      <c r="C23" s="512"/>
      <c r="D23" s="139"/>
      <c r="E23" s="515"/>
      <c r="F23" s="405"/>
      <c r="G23" s="51">
        <v>3</v>
      </c>
      <c r="H23" s="51"/>
      <c r="I23" s="386"/>
      <c r="J23" s="143"/>
      <c r="K23" s="515"/>
      <c r="L23" s="405"/>
      <c r="M23" s="51">
        <v>3</v>
      </c>
      <c r="N23" s="51">
        <v>75071</v>
      </c>
      <c r="O23" s="386" t="s">
        <v>39</v>
      </c>
      <c r="P23" s="143">
        <v>1200</v>
      </c>
      <c r="Q23" s="515"/>
      <c r="R23" s="405"/>
      <c r="S23" s="51">
        <v>3</v>
      </c>
      <c r="T23" s="51">
        <v>74077</v>
      </c>
      <c r="U23" s="386" t="s">
        <v>38</v>
      </c>
      <c r="V23" s="143">
        <v>1250</v>
      </c>
      <c r="W23" s="515"/>
      <c r="X23" s="405"/>
      <c r="Y23" s="51">
        <v>3</v>
      </c>
      <c r="Z23" s="51"/>
      <c r="AA23" s="512"/>
      <c r="AB23" s="139"/>
      <c r="AC23" s="515"/>
      <c r="AD23" s="132"/>
      <c r="AE23" s="516"/>
    </row>
    <row r="24" spans="1:31" ht="16.2" customHeight="1">
      <c r="A24" s="51">
        <v>3</v>
      </c>
      <c r="B24" s="51"/>
      <c r="C24" s="512"/>
      <c r="D24" s="139"/>
      <c r="E24" s="515"/>
      <c r="F24" s="405"/>
      <c r="G24" s="51">
        <v>3</v>
      </c>
      <c r="H24" s="51"/>
      <c r="I24" s="386"/>
      <c r="J24" s="143"/>
      <c r="K24" s="515"/>
      <c r="L24" s="405"/>
      <c r="M24" s="51">
        <v>3</v>
      </c>
      <c r="N24" s="51"/>
      <c r="O24" s="512"/>
      <c r="P24" s="139"/>
      <c r="Q24" s="515"/>
      <c r="R24" s="132"/>
      <c r="S24" s="51">
        <v>3</v>
      </c>
      <c r="T24" s="51">
        <v>74079</v>
      </c>
      <c r="U24" s="386" t="s">
        <v>547</v>
      </c>
      <c r="V24" s="149">
        <v>1100</v>
      </c>
      <c r="W24" s="515"/>
      <c r="X24" s="405"/>
      <c r="Y24" s="51">
        <v>3</v>
      </c>
      <c r="Z24" s="51"/>
      <c r="AA24" s="512"/>
      <c r="AB24" s="139"/>
      <c r="AC24" s="515"/>
      <c r="AD24" s="132"/>
      <c r="AE24" s="516"/>
    </row>
    <row r="25" spans="1:31" ht="16.2" customHeight="1">
      <c r="A25" s="51">
        <v>3</v>
      </c>
      <c r="B25" s="51"/>
      <c r="C25" s="512"/>
      <c r="D25" s="139"/>
      <c r="E25" s="515"/>
      <c r="F25" s="132"/>
      <c r="G25" s="51">
        <v>3</v>
      </c>
      <c r="H25" s="51"/>
      <c r="I25" s="386"/>
      <c r="J25" s="143"/>
      <c r="K25" s="515"/>
      <c r="L25" s="132"/>
      <c r="M25" s="51">
        <v>3</v>
      </c>
      <c r="N25" s="51"/>
      <c r="O25" s="512"/>
      <c r="P25" s="139"/>
      <c r="Q25" s="515"/>
      <c r="R25" s="132"/>
      <c r="S25" s="51">
        <v>3</v>
      </c>
      <c r="T25" s="51"/>
      <c r="U25" s="512"/>
      <c r="V25" s="139"/>
      <c r="W25" s="515"/>
      <c r="X25" s="132"/>
      <c r="Y25" s="51">
        <v>3</v>
      </c>
      <c r="Z25" s="51"/>
      <c r="AA25" s="512"/>
      <c r="AB25" s="139"/>
      <c r="AC25" s="515"/>
      <c r="AD25" s="132"/>
      <c r="AE25" s="516"/>
    </row>
    <row r="26" spans="1:31" ht="16.2" customHeight="1" thickBot="1">
      <c r="A26" s="51">
        <v>3</v>
      </c>
      <c r="B26" s="51"/>
      <c r="C26" s="520"/>
      <c r="D26" s="208"/>
      <c r="E26" s="519"/>
      <c r="F26" s="133"/>
      <c r="G26" s="51">
        <v>3</v>
      </c>
      <c r="H26" s="51"/>
      <c r="I26" s="520"/>
      <c r="J26" s="208"/>
      <c r="K26" s="519"/>
      <c r="L26" s="133"/>
      <c r="M26" s="51">
        <v>3</v>
      </c>
      <c r="N26" s="51"/>
      <c r="O26" s="520"/>
      <c r="P26" s="208"/>
      <c r="Q26" s="519"/>
      <c r="R26" s="133"/>
      <c r="S26" s="51">
        <v>3</v>
      </c>
      <c r="T26" s="51"/>
      <c r="U26" s="520"/>
      <c r="V26" s="208"/>
      <c r="W26" s="519"/>
      <c r="X26" s="133"/>
      <c r="Y26" s="51">
        <v>3</v>
      </c>
      <c r="Z26" s="51"/>
      <c r="AA26" s="520"/>
      <c r="AB26" s="208"/>
      <c r="AC26" s="519"/>
      <c r="AD26" s="133"/>
      <c r="AE26" s="516"/>
    </row>
    <row r="27" spans="1:31" ht="16.2" customHeight="1" thickTop="1">
      <c r="A27" s="51">
        <v>4</v>
      </c>
      <c r="B27" s="51"/>
      <c r="C27" s="523" t="s">
        <v>273</v>
      </c>
      <c r="D27" s="145">
        <f>SUM(D22:D26)</f>
        <v>400</v>
      </c>
      <c r="E27" s="522"/>
      <c r="F27" s="144">
        <f>SUM(F22:F26)</f>
        <v>0</v>
      </c>
      <c r="G27" s="51">
        <v>4</v>
      </c>
      <c r="H27" s="51"/>
      <c r="I27" s="523" t="s">
        <v>273</v>
      </c>
      <c r="J27" s="145">
        <f>SUM(J22:J26)</f>
        <v>3300</v>
      </c>
      <c r="K27" s="522"/>
      <c r="L27" s="144">
        <f>SUM(L22:L26)</f>
        <v>0</v>
      </c>
      <c r="M27" s="51">
        <v>4</v>
      </c>
      <c r="N27" s="51"/>
      <c r="O27" s="523" t="s">
        <v>273</v>
      </c>
      <c r="P27" s="145">
        <f>SUM(P22:P26)</f>
        <v>2350</v>
      </c>
      <c r="Q27" s="522"/>
      <c r="R27" s="144">
        <f>SUM(R22:R26)</f>
        <v>0</v>
      </c>
      <c r="S27" s="51">
        <v>4</v>
      </c>
      <c r="T27" s="51"/>
      <c r="U27" s="523" t="s">
        <v>273</v>
      </c>
      <c r="V27" s="145">
        <f>SUM(V22:V26)</f>
        <v>3300</v>
      </c>
      <c r="W27" s="522"/>
      <c r="X27" s="144">
        <f>SUM(X22:X26)</f>
        <v>0</v>
      </c>
      <c r="Y27" s="51">
        <v>4</v>
      </c>
      <c r="Z27" s="51"/>
      <c r="AA27" s="523" t="s">
        <v>273</v>
      </c>
      <c r="AB27" s="145">
        <f>SUM(AB22:AB26)</f>
        <v>0</v>
      </c>
      <c r="AC27" s="522"/>
      <c r="AD27" s="144">
        <f>SUM(AD22:AD26)</f>
        <v>0</v>
      </c>
      <c r="AE27" s="524">
        <f>D27+J27+P27+V27+AB27</f>
        <v>9350</v>
      </c>
    </row>
    <row r="28" spans="1:31" ht="16.2" customHeight="1">
      <c r="A28" s="51"/>
      <c r="B28" s="51"/>
      <c r="G28" s="51"/>
      <c r="H28" s="51"/>
      <c r="J28" s="210"/>
      <c r="K28" s="526"/>
      <c r="L28" s="526"/>
      <c r="M28" s="51"/>
      <c r="N28" s="51"/>
      <c r="O28" s="736"/>
      <c r="P28" s="210"/>
      <c r="Q28" s="526"/>
      <c r="R28" s="526"/>
      <c r="S28" s="51"/>
      <c r="T28" s="51"/>
      <c r="U28" s="526"/>
      <c r="V28" s="210"/>
      <c r="W28" s="526"/>
      <c r="X28" s="526"/>
      <c r="Y28" s="51"/>
      <c r="Z28" s="51"/>
      <c r="AA28" s="526"/>
      <c r="AB28" s="210"/>
      <c r="AC28" s="13"/>
      <c r="AD28" s="527" t="s">
        <v>412</v>
      </c>
      <c r="AE28" s="151">
        <f>A大阪市港区折込部数+M大阪市港区折込部数+S大阪市港区折込部数+Y大阪市港区折込部数+AD27</f>
        <v>0</v>
      </c>
    </row>
    <row r="29" spans="1:31" ht="16.2" customHeight="1">
      <c r="A29" s="51">
        <v>2</v>
      </c>
      <c r="B29" s="488" t="s">
        <v>1396</v>
      </c>
      <c r="C29" s="46" t="s">
        <v>40</v>
      </c>
      <c r="D29" s="152"/>
      <c r="E29" s="11"/>
      <c r="F29" s="464"/>
      <c r="G29" s="51">
        <v>2</v>
      </c>
      <c r="H29" s="488" t="s">
        <v>1396</v>
      </c>
      <c r="I29" s="464"/>
      <c r="J29" s="211"/>
      <c r="K29" s="464"/>
      <c r="L29" s="464"/>
      <c r="M29" s="51">
        <v>2</v>
      </c>
      <c r="N29" s="488" t="s">
        <v>1396</v>
      </c>
      <c r="O29" s="489"/>
      <c r="Q29"/>
      <c r="S29" s="51">
        <v>2</v>
      </c>
      <c r="T29" s="488" t="s">
        <v>1396</v>
      </c>
      <c r="W29"/>
      <c r="Y29" s="51">
        <v>2</v>
      </c>
      <c r="Z29" s="488" t="s">
        <v>1396</v>
      </c>
      <c r="AB29" s="211"/>
      <c r="AC29" s="11"/>
      <c r="AD29" s="11"/>
    </row>
    <row r="30" spans="1:31" ht="16.2" customHeight="1">
      <c r="A30" s="51">
        <v>3</v>
      </c>
      <c r="B30" s="51">
        <v>72057</v>
      </c>
      <c r="C30" s="441" t="s">
        <v>1495</v>
      </c>
      <c r="D30" s="149">
        <v>1350</v>
      </c>
      <c r="E30" s="511"/>
      <c r="F30" s="404"/>
      <c r="G30" s="51">
        <v>3</v>
      </c>
      <c r="H30" s="51">
        <v>73059</v>
      </c>
      <c r="I30" s="441" t="s">
        <v>43</v>
      </c>
      <c r="J30" s="148">
        <v>2400</v>
      </c>
      <c r="K30" s="511"/>
      <c r="L30" s="404"/>
      <c r="M30" s="51">
        <v>3</v>
      </c>
      <c r="N30" s="51">
        <v>75073</v>
      </c>
      <c r="O30" s="441" t="s">
        <v>42</v>
      </c>
      <c r="P30" s="148">
        <v>650</v>
      </c>
      <c r="Q30" s="511"/>
      <c r="R30" s="404"/>
      <c r="S30" s="51">
        <v>3</v>
      </c>
      <c r="T30" s="51">
        <v>74081</v>
      </c>
      <c r="U30" s="441" t="s">
        <v>41</v>
      </c>
      <c r="V30" s="148">
        <v>1200</v>
      </c>
      <c r="W30" s="511"/>
      <c r="X30" s="404"/>
      <c r="Y30" s="51">
        <v>3</v>
      </c>
      <c r="Z30" s="51"/>
      <c r="AA30" s="703"/>
      <c r="AB30" s="215"/>
      <c r="AC30" s="511"/>
      <c r="AD30" s="129"/>
      <c r="AE30" s="513"/>
    </row>
    <row r="31" spans="1:31" ht="16.2" customHeight="1">
      <c r="A31" s="51">
        <v>3</v>
      </c>
      <c r="B31" s="51"/>
      <c r="C31" s="386"/>
      <c r="D31" s="143"/>
      <c r="E31" s="515"/>
      <c r="F31" s="405"/>
      <c r="G31" s="51">
        <v>3</v>
      </c>
      <c r="H31" s="51">
        <v>73061</v>
      </c>
      <c r="I31" s="386" t="s">
        <v>44</v>
      </c>
      <c r="J31" s="143">
        <v>1950</v>
      </c>
      <c r="K31" s="515"/>
      <c r="L31" s="405"/>
      <c r="M31" s="51">
        <v>3</v>
      </c>
      <c r="N31" s="51">
        <v>75077</v>
      </c>
      <c r="O31" s="386" t="s">
        <v>1610</v>
      </c>
      <c r="P31" s="143">
        <v>1700</v>
      </c>
      <c r="Q31" s="515"/>
      <c r="R31" s="405"/>
      <c r="S31" s="51">
        <v>3</v>
      </c>
      <c r="T31" s="51">
        <v>74083</v>
      </c>
      <c r="U31" s="386" t="s">
        <v>42</v>
      </c>
      <c r="V31" s="143">
        <v>1100</v>
      </c>
      <c r="W31" s="515"/>
      <c r="X31" s="405"/>
      <c r="Y31" s="51">
        <v>3</v>
      </c>
      <c r="Z31" s="51"/>
      <c r="AA31" s="512"/>
      <c r="AB31" s="139"/>
      <c r="AC31" s="515"/>
      <c r="AD31" s="132"/>
      <c r="AE31" s="516"/>
    </row>
    <row r="32" spans="1:31" ht="16.2" customHeight="1">
      <c r="A32" s="51">
        <v>3</v>
      </c>
      <c r="B32" s="51"/>
      <c r="C32" s="512"/>
      <c r="D32" s="139"/>
      <c r="E32" s="515"/>
      <c r="F32" s="132"/>
      <c r="G32" s="51">
        <v>3</v>
      </c>
      <c r="H32" s="51"/>
      <c r="I32" s="386"/>
      <c r="J32" s="143"/>
      <c r="K32" s="515"/>
      <c r="L32" s="132"/>
      <c r="M32" s="51">
        <v>3</v>
      </c>
      <c r="N32" s="51"/>
      <c r="O32" s="386"/>
      <c r="P32" s="143"/>
      <c r="Q32" s="515"/>
      <c r="R32" s="405"/>
      <c r="S32" s="51">
        <v>3</v>
      </c>
      <c r="T32" s="51"/>
      <c r="U32" s="386"/>
      <c r="V32" s="143"/>
      <c r="W32" s="515"/>
      <c r="X32" s="405"/>
      <c r="Y32" s="51">
        <v>3</v>
      </c>
      <c r="Z32" s="51"/>
      <c r="AA32" s="512"/>
      <c r="AB32" s="139"/>
      <c r="AC32" s="515"/>
      <c r="AD32" s="132"/>
      <c r="AE32" s="516"/>
    </row>
    <row r="33" spans="1:31" ht="16.2" customHeight="1">
      <c r="A33" s="51">
        <v>3</v>
      </c>
      <c r="B33" s="51"/>
      <c r="C33" s="512"/>
      <c r="D33" s="139"/>
      <c r="E33" s="515"/>
      <c r="F33" s="132"/>
      <c r="G33" s="51">
        <v>3</v>
      </c>
      <c r="H33" s="51"/>
      <c r="I33" s="512"/>
      <c r="J33" s="139"/>
      <c r="K33" s="515"/>
      <c r="L33" s="132"/>
      <c r="M33" s="51">
        <v>3</v>
      </c>
      <c r="N33" s="51"/>
      <c r="O33" s="512"/>
      <c r="P33" s="139"/>
      <c r="Q33" s="515"/>
      <c r="R33" s="132"/>
      <c r="S33" s="51">
        <v>3</v>
      </c>
      <c r="T33" s="51"/>
      <c r="U33" s="512"/>
      <c r="V33" s="139"/>
      <c r="W33" s="515"/>
      <c r="X33" s="132"/>
      <c r="Y33" s="51">
        <v>3</v>
      </c>
      <c r="Z33" s="51"/>
      <c r="AA33" s="512"/>
      <c r="AB33" s="139"/>
      <c r="AC33" s="515"/>
      <c r="AD33" s="132"/>
      <c r="AE33" s="516"/>
    </row>
    <row r="34" spans="1:31" ht="16.2" customHeight="1" thickBot="1">
      <c r="A34" s="51">
        <v>3</v>
      </c>
      <c r="B34" s="51"/>
      <c r="C34" s="520"/>
      <c r="D34" s="208"/>
      <c r="E34" s="519"/>
      <c r="F34" s="132"/>
      <c r="G34" s="51">
        <v>3</v>
      </c>
      <c r="H34" s="51"/>
      <c r="I34" s="520"/>
      <c r="J34" s="519"/>
      <c r="K34" s="519"/>
      <c r="L34" s="133"/>
      <c r="M34" s="51">
        <v>3</v>
      </c>
      <c r="N34" s="51"/>
      <c r="O34" s="520"/>
      <c r="P34" s="208"/>
      <c r="Q34" s="519"/>
      <c r="R34" s="133"/>
      <c r="S34" s="51">
        <v>3</v>
      </c>
      <c r="T34" s="51"/>
      <c r="U34" s="520"/>
      <c r="V34" s="208"/>
      <c r="W34" s="519"/>
      <c r="X34" s="133"/>
      <c r="Y34" s="51">
        <v>3</v>
      </c>
      <c r="Z34" s="51"/>
      <c r="AA34" s="520"/>
      <c r="AB34" s="208"/>
      <c r="AC34" s="519"/>
      <c r="AD34" s="133"/>
      <c r="AE34" s="516"/>
    </row>
    <row r="35" spans="1:31" ht="16.2" customHeight="1" thickTop="1">
      <c r="A35" s="51">
        <v>4</v>
      </c>
      <c r="B35" s="51"/>
      <c r="C35" s="523" t="s">
        <v>271</v>
      </c>
      <c r="D35" s="535">
        <f xml:space="preserve"> SUM(D30:D34)</f>
        <v>1350</v>
      </c>
      <c r="E35" s="522"/>
      <c r="F35" s="144">
        <f>SUM(F30:F34)</f>
        <v>0</v>
      </c>
      <c r="G35" s="51">
        <v>4</v>
      </c>
      <c r="H35" s="51"/>
      <c r="I35" s="523" t="s">
        <v>271</v>
      </c>
      <c r="J35" s="535">
        <f xml:space="preserve"> SUM(J30:J34)</f>
        <v>4350</v>
      </c>
      <c r="K35" s="522"/>
      <c r="L35" s="144">
        <f>SUM(L30:L34)</f>
        <v>0</v>
      </c>
      <c r="M35" s="51">
        <v>4</v>
      </c>
      <c r="N35" s="51"/>
      <c r="O35" s="523" t="s">
        <v>271</v>
      </c>
      <c r="P35" s="535">
        <f xml:space="preserve"> SUM(P30:P34)</f>
        <v>2350</v>
      </c>
      <c r="Q35" s="522"/>
      <c r="R35" s="144">
        <f>SUM(R30:R34)</f>
        <v>0</v>
      </c>
      <c r="S35" s="51">
        <v>4</v>
      </c>
      <c r="T35" s="51"/>
      <c r="U35" s="523" t="s">
        <v>271</v>
      </c>
      <c r="V35" s="145">
        <f xml:space="preserve"> SUM(V30:V34)</f>
        <v>2300</v>
      </c>
      <c r="W35" s="522"/>
      <c r="X35" s="144">
        <f>SUM(X30:X34)</f>
        <v>0</v>
      </c>
      <c r="Y35" s="51">
        <v>4</v>
      </c>
      <c r="Z35" s="51"/>
      <c r="AA35" s="523" t="s">
        <v>271</v>
      </c>
      <c r="AB35" s="145">
        <f xml:space="preserve"> SUM(AB30:AB34)</f>
        <v>0</v>
      </c>
      <c r="AC35" s="522"/>
      <c r="AD35" s="144">
        <f>SUM(AD30:AD34)</f>
        <v>0</v>
      </c>
      <c r="AE35" s="524">
        <f>D35+J35+P35+V35+AB35</f>
        <v>10350</v>
      </c>
    </row>
    <row r="36" spans="1:31" ht="16.2" customHeight="1">
      <c r="A36" s="51">
        <v>9</v>
      </c>
      <c r="B36" s="51"/>
      <c r="E36"/>
      <c r="F36"/>
      <c r="G36" s="51">
        <v>9</v>
      </c>
      <c r="H36" s="51"/>
      <c r="I36" s="526"/>
      <c r="J36" s="526"/>
      <c r="K36" s="526"/>
      <c r="L36" s="526"/>
      <c r="M36" s="51">
        <v>9</v>
      </c>
      <c r="N36" s="51"/>
      <c r="O36" s="526"/>
      <c r="P36" s="526"/>
      <c r="Q36" s="526"/>
      <c r="R36" s="526"/>
      <c r="S36" s="51">
        <v>9</v>
      </c>
      <c r="T36" s="51"/>
      <c r="U36" s="13"/>
      <c r="W36"/>
      <c r="Y36" s="51">
        <v>9</v>
      </c>
      <c r="Z36" s="51"/>
      <c r="AC36"/>
      <c r="AD36" s="734" t="s">
        <v>412</v>
      </c>
      <c r="AE36" s="103">
        <f>A大阪市大正区折込部数+M大阪市大正区折込部数+S大阪市大正区折込部数+Y大阪市大正区折込部数+AD35</f>
        <v>0</v>
      </c>
    </row>
    <row r="37" spans="1:31" ht="16.2" customHeight="1">
      <c r="C37" s="489"/>
      <c r="D37" s="489"/>
      <c r="E37" s="217"/>
      <c r="F37" s="224"/>
      <c r="G37" s="224"/>
      <c r="H37" s="224"/>
      <c r="I37" s="489"/>
      <c r="J37" s="489"/>
      <c r="K37" s="217"/>
      <c r="L37" s="489"/>
      <c r="M37" s="489"/>
      <c r="N37" s="489"/>
      <c r="O37" s="489"/>
      <c r="P37" s="489"/>
      <c r="Q37" s="217"/>
      <c r="R37" s="489"/>
      <c r="S37" s="489"/>
      <c r="T37" s="489"/>
      <c r="U37" s="489"/>
      <c r="V37" s="489"/>
      <c r="W37" s="217"/>
      <c r="X37" s="489"/>
      <c r="Y37" s="489"/>
      <c r="Z37" s="489"/>
      <c r="AA37" s="489"/>
      <c r="AB37" s="489"/>
      <c r="AC37" s="217"/>
      <c r="AD37" s="489"/>
      <c r="AE37" s="489"/>
    </row>
    <row r="38" spans="1:31" ht="16.2" customHeight="1">
      <c r="C38" s="489"/>
      <c r="D38" s="489"/>
      <c r="E38" s="217"/>
      <c r="F38" s="224"/>
      <c r="G38" s="224"/>
      <c r="H38" s="224"/>
      <c r="I38" s="489"/>
      <c r="J38" s="489"/>
      <c r="K38" s="217"/>
      <c r="L38" s="489"/>
      <c r="M38" s="489"/>
      <c r="N38" s="489"/>
      <c r="O38" s="489"/>
      <c r="P38" s="489"/>
      <c r="Q38" s="217"/>
      <c r="R38" s="489"/>
      <c r="S38" s="489"/>
      <c r="T38" s="489"/>
      <c r="U38" s="489"/>
      <c r="V38" s="489"/>
      <c r="W38" s="217"/>
      <c r="X38" s="489"/>
      <c r="Y38" s="489"/>
      <c r="Z38" s="489"/>
      <c r="AA38" s="489"/>
      <c r="AB38" s="489"/>
      <c r="AC38" s="217"/>
      <c r="AD38" s="489"/>
      <c r="AE38" s="489"/>
    </row>
    <row r="39" spans="1:31" ht="16.2" customHeight="1">
      <c r="C39" s="489"/>
      <c r="D39" s="489"/>
      <c r="E39" s="217"/>
      <c r="F39" s="224"/>
      <c r="G39" s="224"/>
      <c r="H39" s="224"/>
      <c r="I39" s="489"/>
      <c r="J39" s="489"/>
      <c r="K39" s="217"/>
      <c r="L39" s="489"/>
      <c r="M39" s="489"/>
      <c r="N39" s="489"/>
      <c r="O39" s="489"/>
      <c r="P39" s="489"/>
      <c r="Q39" s="217"/>
      <c r="R39" s="489"/>
      <c r="S39" s="489"/>
      <c r="T39" s="489"/>
      <c r="U39" s="489"/>
      <c r="V39" s="489"/>
      <c r="W39" s="217"/>
      <c r="X39" s="489"/>
      <c r="Y39" s="489"/>
      <c r="Z39" s="489"/>
      <c r="AA39" s="489"/>
      <c r="AB39" s="489"/>
      <c r="AC39" s="217"/>
      <c r="AD39" s="489"/>
      <c r="AE39" s="489"/>
    </row>
    <row r="40" spans="1:31" ht="16.2" customHeight="1">
      <c r="C40" s="489"/>
      <c r="D40" s="489"/>
      <c r="E40" s="217"/>
      <c r="F40" s="224"/>
      <c r="G40" s="224"/>
      <c r="H40" s="224"/>
      <c r="I40" s="489"/>
      <c r="J40" s="489"/>
      <c r="K40" s="217"/>
      <c r="L40" s="489"/>
      <c r="M40" s="489"/>
      <c r="N40" s="489"/>
      <c r="O40" s="489"/>
      <c r="P40" s="489"/>
      <c r="Q40" s="217"/>
      <c r="R40" s="489"/>
      <c r="S40" s="489"/>
      <c r="T40" s="489"/>
      <c r="U40" s="489"/>
      <c r="V40" s="489"/>
      <c r="W40" s="217"/>
      <c r="X40" s="489"/>
      <c r="Y40" s="489"/>
      <c r="Z40" s="489"/>
      <c r="AA40" s="489"/>
      <c r="AB40" s="489"/>
      <c r="AC40" s="217"/>
      <c r="AD40" s="489"/>
      <c r="AE40" s="489"/>
    </row>
    <row r="41" spans="1:31" ht="16.2" customHeight="1">
      <c r="C41" s="489"/>
      <c r="D41" s="489"/>
      <c r="E41" s="217"/>
      <c r="F41" s="224"/>
      <c r="G41" s="224"/>
      <c r="H41" s="224"/>
      <c r="I41" s="489"/>
      <c r="J41" s="489"/>
      <c r="K41" s="217"/>
      <c r="L41" s="489"/>
      <c r="M41" s="489"/>
      <c r="N41" s="489"/>
      <c r="O41" s="489"/>
      <c r="P41" s="489"/>
      <c r="Q41" s="217"/>
      <c r="R41" s="489"/>
      <c r="S41" s="489"/>
      <c r="T41" s="489"/>
      <c r="U41" s="489"/>
      <c r="V41" s="489"/>
      <c r="W41" s="217"/>
      <c r="X41" s="489"/>
      <c r="Y41" s="489"/>
      <c r="Z41" s="489"/>
      <c r="AA41" s="489"/>
      <c r="AB41" s="489"/>
      <c r="AC41" s="217"/>
      <c r="AD41" s="489"/>
      <c r="AE41" s="489"/>
    </row>
    <row r="42" spans="1:31" ht="16.2" customHeight="1">
      <c r="C42" s="489"/>
      <c r="D42" s="489"/>
      <c r="E42" s="217"/>
      <c r="F42" s="224"/>
      <c r="G42" s="224"/>
      <c r="H42" s="224"/>
      <c r="I42" s="489"/>
      <c r="J42" s="489"/>
      <c r="K42" s="217"/>
      <c r="L42" s="489"/>
      <c r="M42" s="489"/>
      <c r="N42" s="489"/>
      <c r="O42" s="489"/>
      <c r="P42" s="489"/>
      <c r="Q42" s="217"/>
      <c r="R42" s="489"/>
      <c r="S42" s="489"/>
      <c r="T42" s="489"/>
      <c r="U42" s="489"/>
      <c r="V42" s="489"/>
      <c r="W42" s="217"/>
      <c r="X42" s="489"/>
      <c r="Y42" s="489"/>
      <c r="Z42" s="489"/>
      <c r="AA42" s="489"/>
      <c r="AB42" s="489"/>
      <c r="AC42" s="217"/>
      <c r="AD42" s="489"/>
      <c r="AE42" s="489"/>
    </row>
    <row r="43" spans="1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489"/>
      <c r="M43" s="489"/>
      <c r="N43" s="489"/>
      <c r="O43" s="489"/>
      <c r="P43" s="489"/>
      <c r="Q43" s="217"/>
      <c r="R43" s="489"/>
      <c r="S43" s="489"/>
      <c r="T43" s="489"/>
      <c r="U43" s="489"/>
      <c r="V43" s="489"/>
      <c r="W43" s="217"/>
      <c r="X43" s="489"/>
      <c r="Y43" s="489"/>
      <c r="Z43" s="489"/>
      <c r="AA43" s="489"/>
      <c r="AB43" s="489"/>
      <c r="AC43" s="217"/>
      <c r="AD43" s="489"/>
      <c r="AE43" s="489"/>
    </row>
    <row r="44" spans="1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489"/>
      <c r="M44" s="489"/>
      <c r="N44" s="489"/>
      <c r="O44" s="489"/>
      <c r="P44" s="489"/>
      <c r="Q44" s="217"/>
      <c r="R44" s="489"/>
      <c r="S44" s="489"/>
      <c r="T44" s="489"/>
      <c r="U44" s="489"/>
      <c r="V44" s="489"/>
      <c r="W44" s="217"/>
      <c r="X44" s="489"/>
      <c r="Y44" s="489"/>
      <c r="Z44" s="489"/>
      <c r="AA44" s="489"/>
      <c r="AB44" s="489"/>
      <c r="AC44" s="217"/>
      <c r="AD44" s="489"/>
      <c r="AE44" s="489"/>
    </row>
    <row r="45" spans="1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489"/>
      <c r="M45" s="489"/>
      <c r="N45" s="489"/>
      <c r="O45" s="489"/>
      <c r="P45" s="489"/>
      <c r="Q45" s="217"/>
      <c r="R45" s="489"/>
      <c r="S45" s="489"/>
      <c r="T45" s="489"/>
      <c r="U45" s="489"/>
      <c r="V45" s="489"/>
      <c r="W45" s="217"/>
      <c r="X45" s="489"/>
      <c r="Y45" s="489"/>
      <c r="Z45" s="489"/>
      <c r="AA45" s="489"/>
      <c r="AB45" s="489"/>
      <c r="AC45" s="217"/>
      <c r="AD45" s="489"/>
      <c r="AE45" s="489"/>
    </row>
    <row r="46" spans="1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489"/>
      <c r="M46" s="489"/>
      <c r="N46" s="489"/>
      <c r="O46" s="489"/>
      <c r="P46" s="489"/>
      <c r="Q46" s="217"/>
      <c r="R46" s="489"/>
      <c r="S46" s="489"/>
      <c r="T46" s="489"/>
      <c r="U46" s="489"/>
      <c r="V46" s="489"/>
      <c r="W46" s="217"/>
      <c r="X46" s="489"/>
      <c r="Y46" s="489"/>
      <c r="Z46" s="489"/>
      <c r="AA46" s="489"/>
      <c r="AB46" s="489"/>
      <c r="AC46" s="217"/>
      <c r="AD46" s="489"/>
      <c r="AE46" s="489"/>
    </row>
    <row r="47" spans="1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489"/>
      <c r="M47" s="489"/>
      <c r="N47" s="489"/>
      <c r="O47" s="489"/>
      <c r="P47" s="489"/>
      <c r="Q47" s="217"/>
      <c r="R47" s="489"/>
      <c r="S47" s="489"/>
      <c r="T47" s="489"/>
      <c r="U47" s="489"/>
      <c r="V47" s="489"/>
      <c r="W47" s="217"/>
      <c r="X47" s="489"/>
      <c r="Y47" s="489"/>
      <c r="Z47" s="489"/>
      <c r="AA47" s="489"/>
      <c r="AB47" s="489"/>
      <c r="AC47" s="217"/>
      <c r="AD47" s="489"/>
      <c r="AE47" s="489"/>
    </row>
    <row r="48" spans="1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489"/>
      <c r="M48" s="489"/>
      <c r="N48" s="489"/>
      <c r="O48" s="489"/>
      <c r="P48" s="489"/>
      <c r="Q48" s="217"/>
      <c r="R48" s="489"/>
      <c r="S48" s="489"/>
      <c r="T48" s="489"/>
      <c r="U48" s="489"/>
      <c r="V48" s="489"/>
      <c r="W48" s="217"/>
      <c r="X48" s="489"/>
      <c r="Y48" s="489"/>
      <c r="Z48" s="489"/>
      <c r="AA48" s="489"/>
      <c r="AB48" s="489"/>
      <c r="AC48" s="217"/>
      <c r="AD48" s="489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489"/>
      <c r="M49" s="489"/>
      <c r="N49" s="489"/>
      <c r="O49" s="489"/>
      <c r="P49" s="489"/>
      <c r="Q49" s="217"/>
      <c r="R49" s="489"/>
      <c r="S49" s="489"/>
      <c r="T49" s="489"/>
      <c r="U49" s="489"/>
      <c r="V49" s="489"/>
      <c r="W49" s="217"/>
      <c r="X49" s="489"/>
      <c r="Y49" s="489"/>
      <c r="Z49" s="489"/>
      <c r="AA49" s="489"/>
      <c r="AB49" s="489"/>
      <c r="AC49" s="217"/>
      <c r="AD49" s="489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489"/>
      <c r="M50" s="489"/>
      <c r="N50" s="489"/>
      <c r="O50" s="489"/>
      <c r="P50" s="489"/>
      <c r="Q50" s="217"/>
      <c r="R50" s="489"/>
      <c r="S50" s="489"/>
      <c r="T50" s="489"/>
      <c r="U50" s="489"/>
      <c r="V50" s="489"/>
      <c r="W50" s="217"/>
      <c r="X50" s="489"/>
      <c r="Y50" s="489"/>
      <c r="Z50" s="489"/>
      <c r="AA50" s="489"/>
      <c r="AB50" s="489"/>
      <c r="AC50" s="217"/>
      <c r="AD50" s="489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489"/>
      <c r="M51" s="489"/>
      <c r="N51" s="489"/>
      <c r="O51" s="489"/>
      <c r="P51" s="489"/>
      <c r="Q51" s="217"/>
      <c r="R51" s="489"/>
      <c r="S51" s="489"/>
      <c r="T51" s="489"/>
      <c r="U51" s="489"/>
      <c r="V51" s="489"/>
      <c r="W51" s="217"/>
      <c r="X51" s="489"/>
      <c r="Y51" s="489"/>
      <c r="Z51" s="489"/>
      <c r="AA51" s="489"/>
      <c r="AB51" s="489"/>
      <c r="AC51" s="217"/>
      <c r="AD51" s="489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489"/>
      <c r="M52" s="489"/>
      <c r="N52" s="489"/>
      <c r="O52" s="489"/>
      <c r="P52" s="489"/>
      <c r="Q52" s="217"/>
      <c r="R52" s="489"/>
      <c r="S52" s="489"/>
      <c r="T52" s="489"/>
      <c r="U52" s="489"/>
      <c r="V52" s="489"/>
      <c r="W52" s="217"/>
      <c r="X52" s="489"/>
      <c r="Y52" s="489"/>
      <c r="Z52" s="489"/>
      <c r="AA52" s="489"/>
      <c r="AB52" s="489"/>
      <c r="AC52" s="217"/>
      <c r="AD52" s="489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489"/>
      <c r="M53" s="489"/>
      <c r="N53" s="489"/>
      <c r="O53" s="489"/>
      <c r="P53" s="489"/>
      <c r="Q53" s="217"/>
      <c r="R53" s="489"/>
      <c r="S53" s="489"/>
      <c r="T53" s="489"/>
      <c r="U53" s="489"/>
      <c r="V53" s="489"/>
      <c r="W53" s="217"/>
      <c r="X53" s="489"/>
      <c r="Y53" s="489"/>
      <c r="Z53" s="489"/>
      <c r="AA53" s="489"/>
      <c r="AB53" s="489"/>
      <c r="AC53" s="217"/>
      <c r="AD53" s="489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489"/>
      <c r="M54" s="489"/>
      <c r="N54" s="489"/>
      <c r="O54" s="489"/>
      <c r="P54" s="489"/>
      <c r="Q54" s="217"/>
      <c r="R54" s="489"/>
      <c r="S54" s="489"/>
      <c r="T54" s="489"/>
      <c r="U54" s="489"/>
      <c r="V54" s="489"/>
      <c r="W54" s="217"/>
      <c r="X54" s="489"/>
      <c r="Y54" s="489"/>
      <c r="Z54" s="489"/>
      <c r="AA54" s="489"/>
      <c r="AB54" s="489"/>
      <c r="AC54" s="217"/>
      <c r="AD54" s="489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489"/>
      <c r="M55" s="489"/>
      <c r="N55" s="489"/>
      <c r="O55" s="489"/>
      <c r="P55" s="489"/>
      <c r="Q55" s="217"/>
      <c r="R55" s="489"/>
      <c r="S55" s="489"/>
      <c r="T55" s="489"/>
      <c r="U55" s="489"/>
      <c r="V55" s="489"/>
      <c r="W55" s="217"/>
      <c r="X55" s="489"/>
      <c r="Y55" s="489"/>
      <c r="Z55" s="489"/>
      <c r="AA55" s="489"/>
      <c r="AB55" s="489"/>
      <c r="AC55" s="217"/>
      <c r="AD55" s="489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489"/>
      <c r="M56" s="489"/>
      <c r="N56" s="489"/>
      <c r="O56" s="489"/>
      <c r="P56" s="489"/>
      <c r="Q56" s="217"/>
      <c r="R56" s="489"/>
      <c r="S56" s="489"/>
      <c r="T56" s="489"/>
      <c r="U56" s="489"/>
      <c r="V56" s="489"/>
      <c r="W56" s="217"/>
      <c r="X56" s="489"/>
      <c r="Y56" s="489"/>
      <c r="Z56" s="489"/>
      <c r="AA56" s="489"/>
      <c r="AB56" s="489"/>
      <c r="AC56" s="217"/>
      <c r="AD56" s="489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489"/>
      <c r="M57" s="489"/>
      <c r="N57" s="489"/>
      <c r="O57" s="489"/>
      <c r="P57" s="489"/>
      <c r="Q57" s="217"/>
      <c r="R57" s="489"/>
      <c r="S57" s="489"/>
      <c r="T57" s="489"/>
      <c r="U57" s="489"/>
      <c r="V57" s="489"/>
      <c r="W57" s="217"/>
      <c r="X57" s="489"/>
      <c r="Y57" s="489"/>
      <c r="Z57" s="489"/>
      <c r="AA57" s="489"/>
      <c r="AB57" s="489"/>
      <c r="AC57" s="217"/>
      <c r="AD57" s="489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489"/>
      <c r="M58" s="489"/>
      <c r="N58" s="489"/>
      <c r="O58" s="489"/>
      <c r="P58" s="489"/>
      <c r="Q58" s="217"/>
      <c r="R58" s="489"/>
      <c r="S58" s="489"/>
      <c r="T58" s="489"/>
      <c r="U58" s="489"/>
      <c r="V58" s="489"/>
      <c r="W58" s="217"/>
      <c r="X58" s="489"/>
      <c r="Y58" s="489"/>
      <c r="Z58" s="489"/>
      <c r="AA58" s="489"/>
      <c r="AB58" s="489"/>
      <c r="AC58" s="217"/>
      <c r="AD58" s="489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489"/>
      <c r="M59" s="489"/>
      <c r="N59" s="489"/>
      <c r="O59" s="489"/>
      <c r="P59" s="489"/>
      <c r="Q59" s="217"/>
      <c r="R59" s="489"/>
      <c r="S59" s="489"/>
      <c r="T59" s="489"/>
      <c r="U59" s="489"/>
      <c r="V59" s="489"/>
      <c r="W59" s="217"/>
      <c r="X59" s="489"/>
      <c r="Y59" s="489"/>
      <c r="Z59" s="489"/>
      <c r="AA59" s="489"/>
      <c r="AB59" s="489"/>
      <c r="AC59" s="217"/>
      <c r="AD59" s="489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489"/>
      <c r="M60" s="489"/>
      <c r="N60" s="489"/>
      <c r="O60" s="489"/>
      <c r="P60" s="489"/>
      <c r="Q60" s="217"/>
      <c r="R60" s="489"/>
      <c r="S60" s="489"/>
      <c r="T60" s="489"/>
      <c r="U60" s="489"/>
      <c r="V60" s="489"/>
      <c r="W60" s="217"/>
      <c r="X60" s="489"/>
      <c r="Y60" s="489"/>
      <c r="Z60" s="489"/>
      <c r="AA60" s="489"/>
      <c r="AB60" s="489"/>
      <c r="AC60" s="217"/>
      <c r="AD60" s="489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489"/>
      <c r="M61" s="489"/>
      <c r="N61" s="489"/>
      <c r="O61" s="489"/>
      <c r="P61" s="489"/>
      <c r="Q61" s="217"/>
      <c r="R61" s="489"/>
      <c r="S61" s="489"/>
      <c r="T61" s="489"/>
      <c r="U61" s="489"/>
      <c r="V61" s="489"/>
      <c r="W61" s="217"/>
      <c r="X61" s="489"/>
      <c r="Y61" s="489"/>
      <c r="Z61" s="489"/>
      <c r="AA61" s="489"/>
      <c r="AB61" s="489"/>
      <c r="AC61" s="217"/>
      <c r="AD61" s="489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489"/>
      <c r="M62" s="489"/>
      <c r="N62" s="489"/>
      <c r="O62" s="489"/>
      <c r="P62" s="489"/>
      <c r="Q62" s="217"/>
      <c r="R62" s="489"/>
      <c r="S62" s="489"/>
      <c r="T62" s="489"/>
      <c r="U62" s="489"/>
      <c r="V62" s="489"/>
      <c r="W62" s="217"/>
      <c r="X62" s="489"/>
      <c r="Y62" s="489"/>
      <c r="Z62" s="489"/>
      <c r="AA62" s="489"/>
      <c r="AB62" s="489"/>
      <c r="AC62" s="217"/>
      <c r="AD62" s="489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489"/>
      <c r="M63" s="489"/>
      <c r="N63" s="489"/>
      <c r="O63" s="489"/>
      <c r="P63" s="489"/>
      <c r="Q63" s="217"/>
      <c r="R63" s="489"/>
      <c r="S63" s="489"/>
      <c r="T63" s="489"/>
      <c r="U63" s="489"/>
      <c r="V63" s="489"/>
      <c r="W63" s="217"/>
      <c r="X63" s="489"/>
      <c r="Y63" s="489"/>
      <c r="Z63" s="489"/>
      <c r="AA63" s="489"/>
      <c r="AB63" s="489"/>
      <c r="AC63" s="217"/>
      <c r="AD63" s="489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489"/>
      <c r="M64" s="489"/>
      <c r="N64" s="489"/>
      <c r="O64" s="489"/>
      <c r="P64" s="489"/>
      <c r="Q64" s="217"/>
      <c r="R64" s="489"/>
      <c r="S64" s="489"/>
      <c r="T64" s="489"/>
      <c r="U64" s="489"/>
      <c r="V64" s="489"/>
      <c r="W64" s="217"/>
      <c r="X64" s="489"/>
      <c r="Y64" s="489"/>
      <c r="Z64" s="489"/>
      <c r="AA64" s="489"/>
      <c r="AB64" s="489"/>
      <c r="AC64" s="217"/>
      <c r="AD64" s="489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489"/>
      <c r="M65" s="489"/>
      <c r="N65" s="489"/>
      <c r="O65" s="489"/>
      <c r="P65" s="489"/>
      <c r="Q65" s="217"/>
      <c r="R65" s="489"/>
      <c r="S65" s="489"/>
      <c r="T65" s="489"/>
      <c r="U65" s="489"/>
      <c r="V65" s="489"/>
      <c r="W65" s="217"/>
      <c r="X65" s="489"/>
      <c r="Y65" s="489"/>
      <c r="Z65" s="489"/>
      <c r="AA65" s="489"/>
      <c r="AB65" s="489"/>
      <c r="AC65" s="217"/>
      <c r="AD65" s="489"/>
      <c r="AE65" s="489"/>
    </row>
    <row r="66" spans="3:31" ht="16.2" customHeight="1">
      <c r="C66" s="489"/>
      <c r="D66" s="489"/>
      <c r="E66" s="217"/>
      <c r="F66" s="224"/>
      <c r="G66" s="224"/>
      <c r="H66" s="224"/>
      <c r="I66" s="489"/>
      <c r="J66" s="489"/>
      <c r="K66" s="217"/>
      <c r="L66" s="489"/>
      <c r="M66" s="489"/>
      <c r="N66" s="489"/>
      <c r="O66" s="489"/>
      <c r="P66" s="489"/>
      <c r="Q66" s="217"/>
      <c r="R66" s="489"/>
      <c r="S66" s="489"/>
      <c r="T66" s="489"/>
      <c r="U66" s="489"/>
      <c r="V66" s="489"/>
      <c r="W66" s="217"/>
      <c r="X66" s="489"/>
      <c r="Y66" s="489"/>
      <c r="Z66" s="489"/>
      <c r="AA66" s="489"/>
      <c r="AB66" s="489"/>
      <c r="AC66" s="217"/>
      <c r="AD66" s="489"/>
      <c r="AE66" s="489"/>
    </row>
    <row r="67" spans="3:31" ht="16.2" customHeight="1">
      <c r="C67" s="489"/>
      <c r="D67" s="489"/>
      <c r="E67" s="217"/>
      <c r="F67" s="224"/>
      <c r="G67" s="224"/>
      <c r="H67" s="224"/>
      <c r="I67" s="489"/>
      <c r="J67" s="489"/>
      <c r="K67" s="217"/>
      <c r="L67" s="489"/>
      <c r="M67" s="489"/>
      <c r="N67" s="489"/>
      <c r="O67" s="489"/>
      <c r="P67" s="489"/>
      <c r="Q67" s="217"/>
      <c r="R67" s="489"/>
      <c r="S67" s="489"/>
      <c r="T67" s="489"/>
      <c r="U67" s="489"/>
      <c r="V67" s="489"/>
      <c r="W67" s="217"/>
      <c r="X67" s="489"/>
      <c r="Y67" s="489"/>
      <c r="Z67" s="489"/>
      <c r="AA67" s="489"/>
      <c r="AB67" s="489"/>
      <c r="AC67" s="217"/>
      <c r="AD67" s="489"/>
      <c r="AE67" s="489"/>
    </row>
    <row r="68" spans="3:31" ht="16.2" customHeight="1">
      <c r="C68" s="489"/>
      <c r="D68" s="489"/>
      <c r="E68" s="217"/>
      <c r="F68" s="224"/>
      <c r="G68" s="224"/>
      <c r="H68" s="224"/>
      <c r="I68" s="489"/>
      <c r="J68" s="489"/>
      <c r="K68" s="217"/>
      <c r="L68" s="489"/>
      <c r="M68" s="489"/>
      <c r="N68" s="489"/>
      <c r="O68" s="489"/>
      <c r="P68" s="489"/>
      <c r="Q68" s="217"/>
      <c r="R68" s="489"/>
      <c r="S68" s="489"/>
      <c r="T68" s="489"/>
      <c r="U68" s="489"/>
      <c r="V68" s="489"/>
      <c r="W68" s="217"/>
      <c r="X68" s="489"/>
      <c r="Y68" s="489"/>
      <c r="Z68" s="489"/>
      <c r="AA68" s="489"/>
      <c r="AB68" s="489"/>
      <c r="AC68" s="217"/>
      <c r="AD68" s="489"/>
      <c r="AE68" s="489"/>
    </row>
    <row r="69" spans="3:31" ht="16.2" customHeight="1">
      <c r="C69" s="489"/>
      <c r="D69" s="489"/>
      <c r="E69" s="217"/>
      <c r="F69" s="224"/>
      <c r="G69" s="224"/>
      <c r="H69" s="224"/>
      <c r="I69" s="489"/>
      <c r="J69" s="489"/>
      <c r="K69" s="217"/>
      <c r="L69" s="489"/>
      <c r="M69" s="489"/>
      <c r="N69" s="489"/>
      <c r="O69" s="489"/>
      <c r="P69" s="489"/>
      <c r="Q69" s="217"/>
      <c r="R69" s="489"/>
      <c r="S69" s="489"/>
      <c r="T69" s="489"/>
      <c r="U69" s="489"/>
      <c r="V69" s="489"/>
      <c r="W69" s="217"/>
      <c r="X69" s="489"/>
      <c r="Y69" s="489"/>
      <c r="Z69" s="489"/>
      <c r="AA69" s="489"/>
      <c r="AB69" s="489"/>
      <c r="AC69" s="217"/>
      <c r="AD69" s="489"/>
      <c r="AE69" s="489"/>
    </row>
    <row r="70" spans="3:31" ht="16.2" customHeight="1">
      <c r="C70" s="489"/>
      <c r="D70" s="489"/>
      <c r="E70" s="217"/>
      <c r="F70" s="224"/>
      <c r="G70" s="224"/>
      <c r="H70" s="224"/>
      <c r="I70" s="489"/>
      <c r="J70" s="489"/>
      <c r="K70" s="217"/>
      <c r="L70" s="489"/>
      <c r="M70" s="489"/>
      <c r="N70" s="489"/>
      <c r="O70" s="489"/>
      <c r="P70" s="489"/>
      <c r="Q70" s="217"/>
      <c r="R70" s="489"/>
      <c r="S70" s="489"/>
      <c r="T70" s="489"/>
      <c r="U70" s="489"/>
      <c r="V70" s="489"/>
      <c r="W70" s="217"/>
      <c r="X70" s="489"/>
      <c r="Y70" s="489"/>
      <c r="Z70" s="489"/>
      <c r="AA70" s="489"/>
      <c r="AB70" s="489"/>
      <c r="AC70" s="217"/>
      <c r="AD70" s="489"/>
      <c r="AE70" s="489"/>
    </row>
    <row r="71" spans="3:31" ht="16.2" customHeight="1">
      <c r="C71" s="489"/>
      <c r="D71" s="489"/>
      <c r="E71" s="217"/>
      <c r="F71" s="224"/>
      <c r="G71" s="224"/>
      <c r="H71" s="224"/>
      <c r="I71" s="489"/>
      <c r="J71" s="489"/>
      <c r="K71" s="217"/>
      <c r="L71" s="489"/>
      <c r="M71" s="489"/>
      <c r="N71" s="489"/>
      <c r="O71" s="489"/>
      <c r="P71" s="489"/>
      <c r="Q71" s="217"/>
      <c r="R71" s="489"/>
      <c r="S71" s="489"/>
      <c r="T71" s="489"/>
      <c r="U71" s="489"/>
      <c r="V71" s="489"/>
      <c r="W71" s="217"/>
      <c r="X71" s="489"/>
      <c r="Y71" s="489"/>
      <c r="Z71" s="489"/>
      <c r="AA71" s="489"/>
      <c r="AB71" s="489"/>
      <c r="AC71" s="217"/>
      <c r="AD71" s="489"/>
      <c r="AE71" s="489"/>
    </row>
    <row r="72" spans="3:31" ht="16.2" customHeight="1">
      <c r="C72" s="489"/>
      <c r="D72" s="489"/>
      <c r="E72" s="217"/>
      <c r="F72" s="224"/>
      <c r="G72" s="224"/>
      <c r="H72" s="224"/>
      <c r="I72" s="489"/>
      <c r="J72" s="489"/>
      <c r="K72" s="217"/>
      <c r="L72" s="489"/>
      <c r="M72" s="489"/>
      <c r="N72" s="489"/>
      <c r="O72" s="489"/>
      <c r="P72" s="489"/>
      <c r="Q72" s="217"/>
      <c r="R72" s="489"/>
      <c r="S72" s="489"/>
      <c r="T72" s="489"/>
      <c r="U72" s="489"/>
      <c r="V72" s="489"/>
      <c r="W72" s="217"/>
      <c r="X72" s="489"/>
      <c r="Y72" s="489"/>
      <c r="Z72" s="489"/>
      <c r="AA72" s="489"/>
      <c r="AB72" s="489"/>
      <c r="AC72" s="217"/>
      <c r="AD72" s="489"/>
      <c r="AE72" s="489"/>
    </row>
    <row r="73" spans="3:31" ht="16.2" customHeight="1">
      <c r="C73" s="489"/>
      <c r="D73" s="489"/>
      <c r="E73" s="217"/>
      <c r="F73" s="224"/>
      <c r="G73" s="224"/>
      <c r="H73" s="224"/>
      <c r="I73" s="489"/>
      <c r="J73" s="489"/>
      <c r="K73" s="217"/>
      <c r="L73" s="489"/>
      <c r="M73" s="489"/>
      <c r="N73" s="489"/>
      <c r="O73" s="489"/>
      <c r="P73" s="489"/>
      <c r="Q73" s="217"/>
      <c r="R73" s="489"/>
      <c r="S73" s="489"/>
      <c r="T73" s="489"/>
      <c r="U73" s="489"/>
      <c r="V73" s="489"/>
      <c r="W73" s="217"/>
      <c r="X73" s="489"/>
      <c r="Y73" s="489"/>
      <c r="Z73" s="489"/>
      <c r="AA73" s="489"/>
      <c r="AB73" s="489"/>
      <c r="AC73" s="217"/>
      <c r="AD73" s="489"/>
      <c r="AE73" s="489"/>
    </row>
    <row r="74" spans="3:31" ht="16.2" customHeight="1">
      <c r="C74" s="489"/>
      <c r="D74" s="489"/>
      <c r="E74" s="217"/>
      <c r="F74" s="224"/>
      <c r="G74" s="224"/>
      <c r="H74" s="224"/>
      <c r="I74" s="489"/>
      <c r="J74" s="489"/>
      <c r="K74" s="217"/>
      <c r="L74" s="489"/>
      <c r="M74" s="489"/>
      <c r="N74" s="489"/>
      <c r="O74" s="489"/>
      <c r="P74" s="489"/>
      <c r="Q74" s="217"/>
      <c r="R74" s="489"/>
      <c r="S74" s="489"/>
      <c r="T74" s="489"/>
      <c r="U74" s="489"/>
      <c r="V74" s="489"/>
      <c r="W74" s="217"/>
      <c r="X74" s="489"/>
      <c r="Y74" s="489"/>
      <c r="Z74" s="489"/>
      <c r="AA74" s="489"/>
      <c r="AB74" s="489"/>
      <c r="AC74" s="217"/>
      <c r="AD74" s="489"/>
      <c r="AE74" s="489"/>
    </row>
    <row r="75" spans="3:31" ht="16.2" customHeight="1">
      <c r="C75" s="489"/>
      <c r="D75" s="489"/>
      <c r="E75" s="217"/>
      <c r="F75" s="224"/>
      <c r="G75" s="224"/>
      <c r="H75" s="224"/>
      <c r="I75" s="489"/>
      <c r="J75" s="489"/>
      <c r="K75" s="217"/>
      <c r="L75" s="489"/>
      <c r="M75" s="489"/>
      <c r="N75" s="489"/>
      <c r="O75" s="489"/>
      <c r="P75" s="489"/>
      <c r="Q75" s="217"/>
      <c r="R75" s="489"/>
      <c r="S75" s="489"/>
      <c r="T75" s="489"/>
      <c r="U75" s="489"/>
      <c r="V75" s="489"/>
      <c r="W75" s="217"/>
      <c r="X75" s="489"/>
      <c r="Y75" s="489"/>
      <c r="Z75" s="489"/>
      <c r="AA75" s="489"/>
      <c r="AB75" s="489"/>
      <c r="AC75" s="217"/>
      <c r="AD75" s="489"/>
      <c r="AE75" s="489"/>
    </row>
    <row r="76" spans="3:31" ht="16.2" customHeight="1">
      <c r="C76" s="489"/>
      <c r="D76" s="489"/>
      <c r="E76" s="217"/>
      <c r="F76" s="224"/>
      <c r="G76" s="224"/>
      <c r="H76" s="224"/>
      <c r="I76" s="489"/>
      <c r="J76" s="489"/>
      <c r="K76" s="217"/>
      <c r="L76" s="489"/>
      <c r="M76" s="489"/>
      <c r="N76" s="489"/>
      <c r="O76" s="489"/>
      <c r="P76" s="489"/>
      <c r="Q76" s="217"/>
      <c r="R76" s="489"/>
      <c r="S76" s="489"/>
      <c r="T76" s="489"/>
      <c r="U76" s="489"/>
      <c r="V76" s="489"/>
      <c r="W76" s="217"/>
      <c r="X76" s="489"/>
      <c r="Y76" s="489"/>
      <c r="Z76" s="489"/>
      <c r="AA76" s="489"/>
      <c r="AB76" s="489"/>
      <c r="AC76" s="217"/>
      <c r="AD76" s="489"/>
      <c r="AE76" s="489"/>
    </row>
    <row r="77" spans="3:31" ht="16.2" customHeight="1">
      <c r="C77" s="489"/>
      <c r="D77" s="489"/>
      <c r="E77" s="217"/>
      <c r="F77" s="224"/>
      <c r="G77" s="224"/>
      <c r="H77" s="224"/>
      <c r="I77" s="489"/>
      <c r="J77" s="489"/>
      <c r="K77" s="217"/>
      <c r="L77" s="489"/>
      <c r="M77" s="489"/>
      <c r="N77" s="489"/>
      <c r="O77" s="489"/>
      <c r="P77" s="489"/>
      <c r="Q77" s="217"/>
      <c r="R77" s="489"/>
      <c r="S77" s="489"/>
      <c r="T77" s="489"/>
      <c r="U77" s="489"/>
      <c r="V77" s="489"/>
      <c r="W77" s="217"/>
      <c r="X77" s="489"/>
      <c r="Y77" s="489"/>
      <c r="Z77" s="489"/>
      <c r="AA77" s="489"/>
      <c r="AB77" s="489"/>
      <c r="AC77" s="217"/>
      <c r="AD77" s="489"/>
      <c r="AE77" s="489"/>
    </row>
    <row r="78" spans="3:31" ht="16.2" customHeight="1">
      <c r="C78" s="489"/>
      <c r="D78" s="489"/>
      <c r="E78" s="217"/>
      <c r="F78" s="224"/>
      <c r="G78" s="224"/>
      <c r="H78" s="224"/>
      <c r="I78" s="489"/>
      <c r="J78" s="489"/>
      <c r="K78" s="217"/>
      <c r="L78" s="489"/>
      <c r="M78" s="489"/>
      <c r="N78" s="489"/>
      <c r="O78" s="489"/>
      <c r="P78" s="489"/>
      <c r="Q78" s="217"/>
      <c r="R78" s="489"/>
      <c r="S78" s="489"/>
      <c r="T78" s="489"/>
      <c r="U78" s="489"/>
      <c r="V78" s="489"/>
      <c r="W78" s="217"/>
      <c r="X78" s="489"/>
      <c r="Y78" s="489"/>
      <c r="Z78" s="489"/>
      <c r="AA78" s="489"/>
      <c r="AB78" s="489"/>
      <c r="AC78" s="217"/>
      <c r="AD78" s="489"/>
      <c r="AE78" s="489"/>
    </row>
    <row r="79" spans="3:31" ht="16.2" customHeight="1">
      <c r="C79" s="489"/>
      <c r="D79" s="489"/>
      <c r="E79" s="217"/>
      <c r="F79" s="224"/>
      <c r="G79" s="224"/>
      <c r="H79" s="224"/>
      <c r="I79" s="489"/>
      <c r="J79" s="489"/>
      <c r="K79" s="217"/>
      <c r="L79" s="489"/>
      <c r="M79" s="489"/>
      <c r="N79" s="489"/>
      <c r="O79" s="489"/>
      <c r="P79" s="489"/>
      <c r="Q79" s="217"/>
      <c r="R79" s="489"/>
      <c r="S79" s="489"/>
      <c r="T79" s="489"/>
      <c r="U79" s="489"/>
      <c r="V79" s="489"/>
      <c r="W79" s="217"/>
      <c r="X79" s="489"/>
      <c r="Y79" s="489"/>
      <c r="Z79" s="489"/>
      <c r="AA79" s="489"/>
      <c r="AB79" s="489"/>
      <c r="AC79" s="217"/>
      <c r="AD79" s="489"/>
      <c r="AE79" s="489"/>
    </row>
  </sheetData>
  <sheetProtection formatCells="0"/>
  <mergeCells count="14">
    <mergeCell ref="C2:F3"/>
    <mergeCell ref="D5:L6"/>
    <mergeCell ref="AA10:AD10"/>
    <mergeCell ref="P5:V6"/>
    <mergeCell ref="P7:Q8"/>
    <mergeCell ref="I10:L10"/>
    <mergeCell ref="U10:X10"/>
    <mergeCell ref="W5:X5"/>
    <mergeCell ref="W7:X7"/>
    <mergeCell ref="O10:R10"/>
    <mergeCell ref="D7:L8"/>
    <mergeCell ref="C10:F10"/>
    <mergeCell ref="AA5:AC6"/>
    <mergeCell ref="AA7:AE8"/>
  </mergeCells>
  <phoneticPr fontId="2"/>
  <conditionalFormatting sqref="F13">
    <cfRule type="cellIs" dxfId="45" priority="2" operator="greaterThan">
      <formula>D13</formula>
    </cfRule>
  </conditionalFormatting>
  <conditionalFormatting sqref="L13:L16 R13:R14 X13:X14 F22:F24 L22:L24 R22:R23 X22:X24 F30:F31 L30:L31 R30:R32 X30:X32">
    <cfRule type="cellIs" dxfId="44" priority="1" operator="greaterThan">
      <formula>D13</formula>
    </cfRule>
  </conditionalFormatting>
  <hyperlinks>
    <hyperlink ref="C2:F3" location="提案表紙!A1" display="大阪府折込資料表" xr:uid="{00000000-0004-0000-08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&amp;L此花区・港区・大正区
&amp;RP-5/34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B6D2F5"/>
    <pageSetUpPr fitToPage="1"/>
  </sheetPr>
  <dimension ref="A1:AE72"/>
  <sheetViews>
    <sheetView showZeros="0" topLeftCell="C2" zoomScaleNormal="100" workbookViewId="0">
      <selection activeCell="C2" sqref="C2:F3"/>
    </sheetView>
  </sheetViews>
  <sheetFormatPr defaultColWidth="9" defaultRowHeight="13.2"/>
  <cols>
    <col min="1" max="2" width="8.6640625" hidden="1" customWidth="1"/>
    <col min="3" max="3" width="13.6640625" customWidth="1"/>
    <col min="4" max="4" width="6.7773437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4" width="8.6640625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6" width="8.6640625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idden="1">
      <c r="A1" s="338" t="s">
        <v>1369</v>
      </c>
      <c r="B1" s="51" t="s">
        <v>1370</v>
      </c>
      <c r="C1" s="22"/>
      <c r="F1" s="51" t="s">
        <v>301</v>
      </c>
      <c r="G1" s="338" t="s">
        <v>1369</v>
      </c>
      <c r="H1" s="51" t="s">
        <v>1370</v>
      </c>
      <c r="L1" s="51" t="s">
        <v>301</v>
      </c>
      <c r="M1" s="338" t="s">
        <v>1369</v>
      </c>
      <c r="N1" s="51" t="s">
        <v>1370</v>
      </c>
      <c r="O1" s="18"/>
      <c r="R1" s="51" t="s">
        <v>301</v>
      </c>
      <c r="S1" s="338" t="s">
        <v>1369</v>
      </c>
      <c r="T1" s="51" t="s">
        <v>1370</v>
      </c>
      <c r="U1" s="18"/>
      <c r="X1" s="51" t="s">
        <v>301</v>
      </c>
      <c r="Y1" s="338" t="s">
        <v>1369</v>
      </c>
      <c r="Z1" s="51" t="s">
        <v>1370</v>
      </c>
      <c r="AA1" s="18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S2" s="51"/>
      <c r="W2" s="500"/>
      <c r="X2" s="500" t="s">
        <v>1313</v>
      </c>
    </row>
    <row r="3" spans="1:31" ht="13.5" customHeight="1">
      <c r="C3" s="835"/>
      <c r="D3" s="835"/>
      <c r="E3" s="835"/>
      <c r="F3" s="835"/>
      <c r="G3" s="460"/>
      <c r="H3" s="460"/>
      <c r="I3" s="114" t="s">
        <v>561</v>
      </c>
      <c r="S3" s="51"/>
      <c r="W3" s="500"/>
      <c r="X3" s="500" t="s">
        <v>1501</v>
      </c>
    </row>
    <row r="4" spans="1:31" ht="13.5" customHeight="1">
      <c r="C4" t="s">
        <v>317</v>
      </c>
      <c r="I4" s="187">
        <v>45717</v>
      </c>
      <c r="J4" s="186" t="s">
        <v>0</v>
      </c>
      <c r="K4" t="s">
        <v>272</v>
      </c>
      <c r="S4" s="51"/>
      <c r="W4" s="500"/>
      <c r="X4" s="500" t="s">
        <v>1500</v>
      </c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2"/>
      <c r="N5" s="463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2"/>
      <c r="N6" s="463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2"/>
      <c r="N7" s="463"/>
      <c r="O7" s="7" t="s">
        <v>298</v>
      </c>
      <c r="P7" s="827">
        <f>提案表紙!G9</f>
        <v>0</v>
      </c>
      <c r="Q7" s="828"/>
      <c r="R7" s="7" t="s">
        <v>249</v>
      </c>
      <c r="U7" s="410">
        <f>大阪市浪速区折込部数+大阪市阿倍野区折込部数+大阪市西成区折込部数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2"/>
      <c r="N8" s="463"/>
      <c r="O8" s="207"/>
      <c r="P8" s="829"/>
      <c r="Q8" s="830"/>
      <c r="R8" s="9" t="s">
        <v>250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/>
    <row r="10" spans="1:31" ht="16.2" customHeight="1">
      <c r="A10" s="51">
        <v>1</v>
      </c>
      <c r="B10" s="51">
        <v>2</v>
      </c>
      <c r="C10" s="818" t="s">
        <v>309</v>
      </c>
      <c r="D10" s="819"/>
      <c r="E10" s="819"/>
      <c r="F10" s="820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311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726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726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726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726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726" t="s">
        <v>231</v>
      </c>
      <c r="AE11" s="507" t="s">
        <v>308</v>
      </c>
    </row>
    <row r="12" spans="1:31" ht="16.2" customHeight="1">
      <c r="A12" s="51">
        <v>2</v>
      </c>
      <c r="B12" s="488" t="s">
        <v>1397</v>
      </c>
      <c r="C12" s="46" t="s">
        <v>45</v>
      </c>
      <c r="D12" s="152"/>
      <c r="E12" s="11"/>
      <c r="F12" s="464"/>
      <c r="G12" s="51">
        <v>2</v>
      </c>
      <c r="H12" s="488" t="s">
        <v>1397</v>
      </c>
      <c r="I12" s="464"/>
      <c r="J12" s="211"/>
      <c r="K12" s="464"/>
      <c r="L12" s="464"/>
      <c r="M12" s="51">
        <v>2</v>
      </c>
      <c r="N12" s="488" t="s">
        <v>1397</v>
      </c>
      <c r="O12" s="489"/>
      <c r="S12" s="51">
        <v>2</v>
      </c>
      <c r="T12" s="488" t="s">
        <v>1397</v>
      </c>
      <c r="Y12" s="51">
        <v>2</v>
      </c>
      <c r="Z12" s="488" t="s">
        <v>1397</v>
      </c>
      <c r="AB12" s="211"/>
      <c r="AC12" s="11"/>
      <c r="AD12" s="11"/>
    </row>
    <row r="13" spans="1:31" ht="16.2" customHeight="1">
      <c r="A13" s="51">
        <v>3</v>
      </c>
      <c r="B13" s="51"/>
      <c r="C13" s="441"/>
      <c r="D13" s="148"/>
      <c r="E13" s="511" t="s">
        <v>303</v>
      </c>
      <c r="F13" s="404"/>
      <c r="G13" s="51">
        <v>3</v>
      </c>
      <c r="H13" s="51">
        <v>73063</v>
      </c>
      <c r="I13" s="441" t="s">
        <v>49</v>
      </c>
      <c r="J13" s="148">
        <v>300</v>
      </c>
      <c r="K13" s="511"/>
      <c r="L13" s="404"/>
      <c r="M13" s="51">
        <v>3</v>
      </c>
      <c r="N13" s="51">
        <v>75079</v>
      </c>
      <c r="O13" s="441" t="s">
        <v>82</v>
      </c>
      <c r="P13" s="148">
        <v>850</v>
      </c>
      <c r="Q13" s="511"/>
      <c r="R13" s="404"/>
      <c r="S13" s="51">
        <v>3</v>
      </c>
      <c r="T13" s="51">
        <v>74085</v>
      </c>
      <c r="U13" s="441" t="s">
        <v>48</v>
      </c>
      <c r="V13" s="148">
        <v>2350</v>
      </c>
      <c r="W13" s="511"/>
      <c r="X13" s="404"/>
      <c r="Y13" s="51">
        <v>3</v>
      </c>
      <c r="Z13" s="51"/>
      <c r="AA13" s="703"/>
      <c r="AB13" s="215"/>
      <c r="AC13" s="511"/>
      <c r="AD13" s="129"/>
      <c r="AE13" s="513"/>
    </row>
    <row r="14" spans="1:31" ht="16.2" customHeight="1">
      <c r="A14" s="51">
        <v>3</v>
      </c>
      <c r="B14" s="51"/>
      <c r="C14" s="512"/>
      <c r="D14" s="139"/>
      <c r="E14" s="515"/>
      <c r="F14" s="132"/>
      <c r="G14" s="51">
        <v>3</v>
      </c>
      <c r="H14" s="51">
        <v>73065</v>
      </c>
      <c r="I14" s="386" t="s">
        <v>80</v>
      </c>
      <c r="J14" s="143">
        <v>1400</v>
      </c>
      <c r="K14" s="515"/>
      <c r="L14" s="405"/>
      <c r="M14" s="51">
        <v>3</v>
      </c>
      <c r="N14" s="51">
        <v>75081</v>
      </c>
      <c r="O14" s="386" t="s">
        <v>1075</v>
      </c>
      <c r="P14" s="143">
        <v>750</v>
      </c>
      <c r="Q14" s="515"/>
      <c r="R14" s="405"/>
      <c r="S14" s="51">
        <v>3</v>
      </c>
      <c r="T14" s="51"/>
      <c r="U14" s="733"/>
      <c r="W14" s="515"/>
      <c r="X14" s="132"/>
      <c r="Y14" s="51">
        <v>3</v>
      </c>
      <c r="Z14" s="51"/>
      <c r="AA14" s="512"/>
      <c r="AB14" s="139"/>
      <c r="AC14" s="515"/>
      <c r="AD14" s="132"/>
      <c r="AE14" s="516"/>
    </row>
    <row r="15" spans="1:31" ht="16.2" customHeight="1">
      <c r="A15" s="51">
        <v>3</v>
      </c>
      <c r="B15" s="51"/>
      <c r="C15" s="512"/>
      <c r="D15" s="139"/>
      <c r="E15" s="515"/>
      <c r="F15" s="132"/>
      <c r="G15" s="51">
        <v>3</v>
      </c>
      <c r="H15" s="51">
        <v>73067</v>
      </c>
      <c r="I15" s="386" t="s">
        <v>81</v>
      </c>
      <c r="J15" s="143">
        <v>1400</v>
      </c>
      <c r="K15" s="515"/>
      <c r="L15" s="405"/>
      <c r="M15" s="51">
        <v>3</v>
      </c>
      <c r="N15" s="51"/>
      <c r="O15" s="512"/>
      <c r="P15" s="139"/>
      <c r="Q15" s="515"/>
      <c r="R15" s="132"/>
      <c r="S15" s="51">
        <v>3</v>
      </c>
      <c r="T15" s="51"/>
      <c r="U15" s="512"/>
      <c r="V15" s="139"/>
      <c r="W15" s="515"/>
      <c r="X15" s="132"/>
      <c r="Y15" s="51">
        <v>3</v>
      </c>
      <c r="Z15" s="51"/>
      <c r="AA15" s="512"/>
      <c r="AB15" s="139"/>
      <c r="AC15" s="515"/>
      <c r="AD15" s="132"/>
      <c r="AE15" s="516"/>
    </row>
    <row r="16" spans="1:31" ht="16.2" customHeight="1">
      <c r="A16" s="51">
        <v>3</v>
      </c>
      <c r="B16" s="51"/>
      <c r="C16" s="512"/>
      <c r="D16" s="139"/>
      <c r="E16" s="515"/>
      <c r="F16" s="132"/>
      <c r="G16" s="51">
        <v>3</v>
      </c>
      <c r="H16" s="51"/>
      <c r="I16" s="512"/>
      <c r="J16" s="139"/>
      <c r="K16" s="515"/>
      <c r="L16" s="132"/>
      <c r="M16" s="51">
        <v>3</v>
      </c>
      <c r="N16" s="51"/>
      <c r="O16" s="512"/>
      <c r="P16" s="139"/>
      <c r="Q16" s="515"/>
      <c r="R16" s="132"/>
      <c r="S16" s="51">
        <v>3</v>
      </c>
      <c r="T16" s="51"/>
      <c r="U16" s="512"/>
      <c r="V16" s="139"/>
      <c r="W16" s="515"/>
      <c r="X16" s="132"/>
      <c r="Y16" s="51">
        <v>3</v>
      </c>
      <c r="Z16" s="51"/>
      <c r="AA16" s="512"/>
      <c r="AB16" s="139"/>
      <c r="AC16" s="515"/>
      <c r="AD16" s="132"/>
      <c r="AE16" s="516"/>
    </row>
    <row r="17" spans="1:31" ht="16.2" customHeight="1" thickBot="1">
      <c r="A17" s="51">
        <v>3</v>
      </c>
      <c r="B17" s="51"/>
      <c r="C17" s="520"/>
      <c r="D17" s="208"/>
      <c r="E17" s="519"/>
      <c r="F17" s="132"/>
      <c r="G17" s="51">
        <v>3</v>
      </c>
      <c r="H17" s="51"/>
      <c r="I17" s="520"/>
      <c r="J17" s="519"/>
      <c r="K17" s="519"/>
      <c r="L17" s="133"/>
      <c r="M17" s="51">
        <v>3</v>
      </c>
      <c r="N17" s="51"/>
      <c r="O17" s="520"/>
      <c r="P17" s="208"/>
      <c r="Q17" s="519"/>
      <c r="R17" s="133"/>
      <c r="S17" s="51">
        <v>3</v>
      </c>
      <c r="T17" s="51"/>
      <c r="U17" s="520"/>
      <c r="V17" s="208"/>
      <c r="W17" s="519"/>
      <c r="X17" s="133"/>
      <c r="Y17" s="51">
        <v>3</v>
      </c>
      <c r="Z17" s="51"/>
      <c r="AA17" s="520"/>
      <c r="AB17" s="208"/>
      <c r="AC17" s="519"/>
      <c r="AD17" s="133"/>
      <c r="AE17" s="516"/>
    </row>
    <row r="18" spans="1:31" ht="16.2" customHeight="1" thickTop="1">
      <c r="A18" s="51">
        <v>4</v>
      </c>
      <c r="B18" s="51"/>
      <c r="C18" s="523" t="s">
        <v>271</v>
      </c>
      <c r="D18" s="535">
        <f xml:space="preserve"> SUM(D13:D17)</f>
        <v>0</v>
      </c>
      <c r="E18" s="522"/>
      <c r="F18" s="144">
        <f>SUM(F13:F17)</f>
        <v>0</v>
      </c>
      <c r="G18" s="51">
        <v>4</v>
      </c>
      <c r="H18" s="51"/>
      <c r="I18" s="523" t="s">
        <v>271</v>
      </c>
      <c r="J18" s="535">
        <f xml:space="preserve"> SUM(J13:J17)</f>
        <v>3100</v>
      </c>
      <c r="K18" s="522"/>
      <c r="L18" s="144">
        <f>SUM(L13:L17)</f>
        <v>0</v>
      </c>
      <c r="M18" s="51">
        <v>4</v>
      </c>
      <c r="N18" s="51"/>
      <c r="O18" s="523" t="s">
        <v>271</v>
      </c>
      <c r="P18" s="535">
        <f xml:space="preserve"> SUM(P13:P17)</f>
        <v>1600</v>
      </c>
      <c r="Q18" s="522"/>
      <c r="R18" s="144">
        <f>SUM(R13:R17)</f>
        <v>0</v>
      </c>
      <c r="S18" s="51">
        <v>4</v>
      </c>
      <c r="T18" s="51"/>
      <c r="U18" s="523" t="s">
        <v>271</v>
      </c>
      <c r="V18" s="145">
        <f xml:space="preserve"> SUM(V13:V17)</f>
        <v>2350</v>
      </c>
      <c r="W18" s="522"/>
      <c r="X18" s="144">
        <f>SUM(X13:X17)</f>
        <v>0</v>
      </c>
      <c r="Y18" s="51">
        <v>4</v>
      </c>
      <c r="Z18" s="51"/>
      <c r="AA18" s="523" t="s">
        <v>271</v>
      </c>
      <c r="AB18" s="145">
        <f xml:space="preserve"> SUM(AB13:AB17)</f>
        <v>0</v>
      </c>
      <c r="AC18" s="522"/>
      <c r="AD18" s="144">
        <f>SUM(AD13:AD17)</f>
        <v>0</v>
      </c>
      <c r="AE18" s="524">
        <f>D18+J18+P18+V18+AB18</f>
        <v>7050</v>
      </c>
    </row>
    <row r="19" spans="1:31" ht="16.2" customHeight="1">
      <c r="A19" s="51"/>
      <c r="B19" s="51"/>
      <c r="G19" s="51"/>
      <c r="H19" s="51"/>
      <c r="I19" s="526">
        <v>0</v>
      </c>
      <c r="J19" s="526"/>
      <c r="K19" s="526"/>
      <c r="L19" s="526"/>
      <c r="M19" s="51"/>
      <c r="N19" s="51"/>
      <c r="O19" s="526"/>
      <c r="P19" s="526"/>
      <c r="Q19" s="526"/>
      <c r="R19" s="526"/>
      <c r="S19" s="51"/>
      <c r="T19" s="51"/>
      <c r="U19" s="13"/>
      <c r="Y19" s="51"/>
      <c r="Z19" s="51"/>
      <c r="AD19" s="734" t="s">
        <v>412</v>
      </c>
      <c r="AE19" s="103">
        <f>A大阪市浪速区折込部数+M大阪市浪速区折込部数+S大阪市浪速区折込部数+Y大阪市浪速区折込部数+AD18</f>
        <v>0</v>
      </c>
    </row>
    <row r="20" spans="1:31" ht="16.2" customHeight="1">
      <c r="A20" s="51">
        <v>2</v>
      </c>
      <c r="B20" s="488" t="s">
        <v>1398</v>
      </c>
      <c r="C20" s="46" t="s">
        <v>83</v>
      </c>
      <c r="E20" s="15"/>
      <c r="G20" s="51">
        <v>2</v>
      </c>
      <c r="H20" s="488" t="s">
        <v>1398</v>
      </c>
      <c r="K20" s="14"/>
      <c r="M20" s="51">
        <v>2</v>
      </c>
      <c r="N20" s="488" t="s">
        <v>1398</v>
      </c>
      <c r="Q20" s="14"/>
      <c r="S20" s="51">
        <v>2</v>
      </c>
      <c r="T20" s="488" t="s">
        <v>1398</v>
      </c>
      <c r="U20" s="18"/>
      <c r="W20" s="14"/>
      <c r="Y20" s="51">
        <v>2</v>
      </c>
      <c r="Z20" s="488" t="s">
        <v>1398</v>
      </c>
      <c r="AA20" s="18"/>
      <c r="AC20" s="14"/>
    </row>
    <row r="21" spans="1:31" ht="16.2" customHeight="1">
      <c r="A21" s="51">
        <v>3</v>
      </c>
      <c r="B21" s="51">
        <v>72061</v>
      </c>
      <c r="C21" s="441" t="s">
        <v>84</v>
      </c>
      <c r="D21" s="3">
        <v>2750</v>
      </c>
      <c r="E21" s="136"/>
      <c r="F21" s="404"/>
      <c r="G21" s="51">
        <v>3</v>
      </c>
      <c r="H21" s="51">
        <v>73069</v>
      </c>
      <c r="I21" s="441" t="s">
        <v>84</v>
      </c>
      <c r="J21" s="3">
        <v>3950</v>
      </c>
      <c r="K21" s="136"/>
      <c r="L21" s="404"/>
      <c r="M21" s="51">
        <v>3</v>
      </c>
      <c r="N21" s="51">
        <v>75083</v>
      </c>
      <c r="O21" s="510" t="s">
        <v>1223</v>
      </c>
      <c r="P21" s="3">
        <v>2300</v>
      </c>
      <c r="Q21" s="136"/>
      <c r="R21" s="404"/>
      <c r="S21" s="51">
        <v>3</v>
      </c>
      <c r="T21" s="51">
        <v>74087</v>
      </c>
      <c r="U21" s="441" t="s">
        <v>84</v>
      </c>
      <c r="V21" s="3">
        <v>1450</v>
      </c>
      <c r="W21" s="136"/>
      <c r="X21" s="404"/>
      <c r="Y21" s="51">
        <v>3</v>
      </c>
      <c r="Z21" s="51"/>
      <c r="AA21" s="703"/>
      <c r="AB21" s="215"/>
      <c r="AC21" s="136"/>
      <c r="AD21" s="129"/>
      <c r="AE21" s="513"/>
    </row>
    <row r="22" spans="1:31" ht="16.2" customHeight="1">
      <c r="A22" s="51">
        <v>3</v>
      </c>
      <c r="B22" s="51">
        <v>72063</v>
      </c>
      <c r="C22" s="386" t="s">
        <v>1113</v>
      </c>
      <c r="D22" s="2">
        <v>2100</v>
      </c>
      <c r="E22" s="137"/>
      <c r="F22" s="405"/>
      <c r="G22" s="51">
        <v>3</v>
      </c>
      <c r="H22" s="51">
        <v>73071</v>
      </c>
      <c r="I22" s="386" t="s">
        <v>1285</v>
      </c>
      <c r="J22" s="2">
        <v>3500</v>
      </c>
      <c r="K22" s="137"/>
      <c r="L22" s="405"/>
      <c r="M22" s="51">
        <v>3</v>
      </c>
      <c r="N22" s="51"/>
      <c r="O22" s="386"/>
      <c r="P22" s="2"/>
      <c r="Q22" s="137"/>
      <c r="R22" s="132"/>
      <c r="S22" s="51">
        <v>3</v>
      </c>
      <c r="T22" s="51">
        <v>74089</v>
      </c>
      <c r="U22" s="386" t="s">
        <v>85</v>
      </c>
      <c r="V22" s="2">
        <v>950</v>
      </c>
      <c r="W22" s="137"/>
      <c r="X22" s="405"/>
      <c r="Y22" s="51">
        <v>3</v>
      </c>
      <c r="Z22" s="51"/>
      <c r="AA22" s="512"/>
      <c r="AB22" s="347"/>
      <c r="AC22" s="137"/>
      <c r="AD22" s="132"/>
      <c r="AE22" s="516"/>
    </row>
    <row r="23" spans="1:31" ht="16.2" customHeight="1">
      <c r="A23" s="51">
        <v>3</v>
      </c>
      <c r="B23" s="51"/>
      <c r="C23" s="512"/>
      <c r="D23" s="139"/>
      <c r="E23" s="137"/>
      <c r="F23" s="132"/>
      <c r="G23" s="51">
        <v>3</v>
      </c>
      <c r="H23" s="51"/>
      <c r="I23" s="386"/>
      <c r="J23" s="2"/>
      <c r="K23" s="137"/>
      <c r="L23" s="132"/>
      <c r="M23" s="51">
        <v>3</v>
      </c>
      <c r="N23" s="51"/>
      <c r="O23" s="520"/>
      <c r="P23" s="208"/>
      <c r="Q23" s="138"/>
      <c r="R23" s="132"/>
      <c r="S23" s="51">
        <v>3</v>
      </c>
      <c r="T23" s="51">
        <v>74091</v>
      </c>
      <c r="U23" s="386" t="s">
        <v>86</v>
      </c>
      <c r="V23" s="2">
        <v>2100</v>
      </c>
      <c r="W23" s="137"/>
      <c r="X23" s="405"/>
      <c r="Y23" s="51">
        <v>3</v>
      </c>
      <c r="Z23" s="51"/>
      <c r="AA23" s="512"/>
      <c r="AB23" s="139" t="s">
        <v>252</v>
      </c>
      <c r="AC23" s="137"/>
      <c r="AD23" s="132"/>
      <c r="AE23" s="516"/>
    </row>
    <row r="24" spans="1:31" ht="16.2" customHeight="1">
      <c r="A24" s="51">
        <v>3</v>
      </c>
      <c r="B24" s="51"/>
      <c r="C24" s="512"/>
      <c r="D24" s="139"/>
      <c r="E24" s="137"/>
      <c r="F24" s="132"/>
      <c r="G24" s="51">
        <v>3</v>
      </c>
      <c r="H24" s="51"/>
      <c r="I24" s="512"/>
      <c r="J24" s="139"/>
      <c r="K24" s="137"/>
      <c r="L24" s="132"/>
      <c r="M24" s="51">
        <v>3</v>
      </c>
      <c r="N24" s="51"/>
      <c r="O24" s="517"/>
      <c r="P24" s="139"/>
      <c r="Q24" s="137"/>
      <c r="R24" s="132"/>
      <c r="S24" s="51">
        <v>3</v>
      </c>
      <c r="T24" s="51"/>
      <c r="U24" s="512"/>
      <c r="V24" s="139"/>
      <c r="W24" s="137"/>
      <c r="X24" s="132"/>
      <c r="Y24" s="51">
        <v>3</v>
      </c>
      <c r="Z24" s="51"/>
      <c r="AA24" s="512"/>
      <c r="AB24" s="139"/>
      <c r="AC24" s="137"/>
      <c r="AD24" s="132"/>
      <c r="AE24" s="516"/>
    </row>
    <row r="25" spans="1:31" ht="16.2" customHeight="1" thickBot="1">
      <c r="A25" s="51">
        <v>3</v>
      </c>
      <c r="B25" s="51"/>
      <c r="C25" s="699"/>
      <c r="D25" s="208"/>
      <c r="E25" s="138"/>
      <c r="F25" s="133"/>
      <c r="G25" s="51">
        <v>3</v>
      </c>
      <c r="H25" s="51"/>
      <c r="I25" s="520"/>
      <c r="J25" s="208"/>
      <c r="K25" s="138"/>
      <c r="L25" s="133"/>
      <c r="M25" s="51">
        <v>3</v>
      </c>
      <c r="N25" s="51"/>
      <c r="O25" s="518"/>
      <c r="P25" s="208"/>
      <c r="Q25" s="138"/>
      <c r="R25" s="133"/>
      <c r="S25" s="51">
        <v>3</v>
      </c>
      <c r="T25" s="51"/>
      <c r="U25" s="699"/>
      <c r="V25" s="208"/>
      <c r="W25" s="138"/>
      <c r="X25" s="133"/>
      <c r="Y25" s="51">
        <v>3</v>
      </c>
      <c r="Z25" s="51"/>
      <c r="AA25" s="520"/>
      <c r="AB25" s="208"/>
      <c r="AC25" s="138"/>
      <c r="AD25" s="133"/>
      <c r="AE25" s="516"/>
    </row>
    <row r="26" spans="1:31" ht="16.2" customHeight="1" thickTop="1">
      <c r="A26" s="51">
        <v>4</v>
      </c>
      <c r="B26" s="51"/>
      <c r="C26" s="523" t="s">
        <v>273</v>
      </c>
      <c r="D26" s="27">
        <f>SUM(D21:D25)</f>
        <v>4850</v>
      </c>
      <c r="E26" s="28"/>
      <c r="F26" s="75">
        <f>SUM(F21:F25)</f>
        <v>0</v>
      </c>
      <c r="G26" s="51">
        <v>4</v>
      </c>
      <c r="H26" s="51"/>
      <c r="I26" s="523" t="s">
        <v>273</v>
      </c>
      <c r="J26" s="27">
        <f>SUM(J21:J25)</f>
        <v>7450</v>
      </c>
      <c r="K26" s="28"/>
      <c r="L26" s="75">
        <f>SUM(L21:L25)</f>
        <v>0</v>
      </c>
      <c r="M26" s="51">
        <v>4</v>
      </c>
      <c r="N26" s="51"/>
      <c r="O26" s="521" t="s">
        <v>273</v>
      </c>
      <c r="P26" s="27">
        <f>SUM(P21:P25)</f>
        <v>2300</v>
      </c>
      <c r="Q26" s="28"/>
      <c r="R26" s="75">
        <f>SUM(R21:R25)</f>
        <v>0</v>
      </c>
      <c r="S26" s="51">
        <v>4</v>
      </c>
      <c r="T26" s="51"/>
      <c r="U26" s="523" t="s">
        <v>273</v>
      </c>
      <c r="V26" s="27">
        <f>SUM(V21:V25)</f>
        <v>4500</v>
      </c>
      <c r="W26" s="28"/>
      <c r="X26" s="75">
        <f>SUM(X21:X25)</f>
        <v>0</v>
      </c>
      <c r="Y26" s="51">
        <v>4</v>
      </c>
      <c r="Z26" s="51"/>
      <c r="AA26" s="523" t="s">
        <v>273</v>
      </c>
      <c r="AB26" s="27">
        <f>SUM(AB21:AB25)</f>
        <v>0</v>
      </c>
      <c r="AC26" s="28"/>
      <c r="AD26" s="75">
        <f>SUM(AD21:AD25)</f>
        <v>0</v>
      </c>
      <c r="AE26" s="524">
        <f>D26+J26+P26+V26+AB26</f>
        <v>19100</v>
      </c>
    </row>
    <row r="27" spans="1:31" ht="16.2" customHeight="1">
      <c r="A27" s="51"/>
      <c r="B27" s="51"/>
      <c r="C27" s="538"/>
      <c r="D27" s="213"/>
      <c r="E27" s="217"/>
      <c r="F27" s="224"/>
      <c r="G27" s="51"/>
      <c r="H27" s="51"/>
      <c r="I27" s="537"/>
      <c r="J27" s="213"/>
      <c r="K27" s="217"/>
      <c r="L27" s="224"/>
      <c r="M27" s="51"/>
      <c r="N27" s="51"/>
      <c r="O27" s="848"/>
      <c r="P27" s="848"/>
      <c r="Q27" s="848"/>
      <c r="R27" s="848"/>
      <c r="S27" s="51"/>
      <c r="T27" s="51"/>
      <c r="U27" s="18"/>
      <c r="V27" s="21"/>
      <c r="W27" s="15"/>
      <c r="X27" s="14"/>
      <c r="Y27" s="51"/>
      <c r="Z27" s="51"/>
      <c r="AA27" s="18"/>
      <c r="AB27" s="21"/>
      <c r="AC27" s="15"/>
      <c r="AD27" s="527" t="s">
        <v>273</v>
      </c>
      <c r="AE27" s="103">
        <f>A大阪市阿倍野区折込部数+M大阪市阿倍野区折込部数+S大阪市阿倍野区折込部数+Y大阪市阿倍野区折込部数+AD26</f>
        <v>0</v>
      </c>
    </row>
    <row r="28" spans="1:31" ht="16.2" customHeight="1">
      <c r="A28" s="51">
        <v>2</v>
      </c>
      <c r="B28" s="488" t="s">
        <v>1399</v>
      </c>
      <c r="C28" s="46" t="s">
        <v>87</v>
      </c>
      <c r="D28" s="12"/>
      <c r="E28" s="19"/>
      <c r="F28" s="464"/>
      <c r="G28" s="51">
        <v>2</v>
      </c>
      <c r="H28" s="488" t="s">
        <v>1399</v>
      </c>
      <c r="I28" s="464"/>
      <c r="J28" s="211"/>
      <c r="K28" s="223"/>
      <c r="L28" s="464"/>
      <c r="M28" s="51">
        <v>2</v>
      </c>
      <c r="N28" s="488" t="s">
        <v>1399</v>
      </c>
      <c r="O28" s="464"/>
      <c r="P28" s="211"/>
      <c r="Q28" s="223"/>
      <c r="R28" s="464"/>
      <c r="S28" s="51">
        <v>2</v>
      </c>
      <c r="T28" s="488" t="s">
        <v>1399</v>
      </c>
      <c r="U28" s="464"/>
      <c r="V28" s="211"/>
      <c r="W28" s="223"/>
      <c r="X28" s="223"/>
      <c r="Y28" s="51">
        <v>2</v>
      </c>
      <c r="Z28" s="488" t="s">
        <v>1399</v>
      </c>
      <c r="AA28" s="464"/>
      <c r="AB28" s="211"/>
      <c r="AC28" s="16"/>
      <c r="AD28" s="16"/>
      <c r="AE28" s="11"/>
    </row>
    <row r="29" spans="1:31" ht="15.75" customHeight="1">
      <c r="A29" s="51">
        <v>3</v>
      </c>
      <c r="B29" s="51">
        <v>72067</v>
      </c>
      <c r="C29" s="441" t="s">
        <v>970</v>
      </c>
      <c r="D29" s="499">
        <v>2000</v>
      </c>
      <c r="E29" s="136"/>
      <c r="F29" s="404"/>
      <c r="G29" s="51">
        <v>3</v>
      </c>
      <c r="H29" s="51">
        <v>73073</v>
      </c>
      <c r="I29" s="386" t="s">
        <v>968</v>
      </c>
      <c r="J29" s="2">
        <v>1000</v>
      </c>
      <c r="K29" s="136"/>
      <c r="L29" s="404"/>
      <c r="M29" s="51">
        <v>3</v>
      </c>
      <c r="N29" s="51">
        <v>75085</v>
      </c>
      <c r="O29" s="386" t="s">
        <v>967</v>
      </c>
      <c r="P29" s="3">
        <v>1850</v>
      </c>
      <c r="Q29" s="136"/>
      <c r="R29" s="404"/>
      <c r="S29" s="51">
        <v>3</v>
      </c>
      <c r="T29" s="51">
        <v>74093</v>
      </c>
      <c r="U29" s="441" t="s">
        <v>971</v>
      </c>
      <c r="V29" s="3">
        <v>650</v>
      </c>
      <c r="W29" s="136"/>
      <c r="X29" s="404"/>
      <c r="Y29" s="51">
        <v>3</v>
      </c>
      <c r="Z29" s="51"/>
      <c r="AA29" s="703"/>
      <c r="AB29" s="215"/>
      <c r="AC29" s="136"/>
      <c r="AD29" s="129"/>
      <c r="AE29" s="513"/>
    </row>
    <row r="30" spans="1:31" ht="15.75" customHeight="1">
      <c r="A30" s="51">
        <v>3</v>
      </c>
      <c r="B30" s="51"/>
      <c r="C30" s="386"/>
      <c r="D30" s="2"/>
      <c r="E30" s="156"/>
      <c r="F30" s="405"/>
      <c r="G30" s="51">
        <v>3</v>
      </c>
      <c r="H30" s="51">
        <v>73075</v>
      </c>
      <c r="I30" s="386" t="s">
        <v>969</v>
      </c>
      <c r="J30" s="2">
        <v>650</v>
      </c>
      <c r="K30" s="137"/>
      <c r="L30" s="405"/>
      <c r="M30" s="51">
        <v>3</v>
      </c>
      <c r="N30" s="51"/>
      <c r="O30" s="691"/>
      <c r="P30" s="2"/>
      <c r="Q30" s="137"/>
      <c r="R30" s="74"/>
      <c r="S30" s="51">
        <v>3</v>
      </c>
      <c r="T30" s="51">
        <v>74095</v>
      </c>
      <c r="U30" s="386" t="s">
        <v>966</v>
      </c>
      <c r="V30" s="2">
        <v>1250</v>
      </c>
      <c r="W30" s="137"/>
      <c r="X30" s="405"/>
      <c r="Y30" s="51">
        <v>3</v>
      </c>
      <c r="Z30" s="51"/>
      <c r="AA30" s="512"/>
      <c r="AB30" s="139"/>
      <c r="AC30" s="137"/>
      <c r="AD30" s="132"/>
      <c r="AE30" s="516"/>
    </row>
    <row r="31" spans="1:31" ht="15.75" customHeight="1">
      <c r="A31" s="51">
        <v>3</v>
      </c>
      <c r="B31" s="51"/>
      <c r="C31" s="512"/>
      <c r="D31" s="139"/>
      <c r="E31" s="137"/>
      <c r="F31" s="132"/>
      <c r="G31" s="51">
        <v>3</v>
      </c>
      <c r="H31" s="51">
        <v>73077</v>
      </c>
      <c r="I31" s="386" t="s">
        <v>970</v>
      </c>
      <c r="J31" s="2">
        <v>1200</v>
      </c>
      <c r="K31" s="137"/>
      <c r="L31" s="405"/>
      <c r="M31" s="51">
        <v>3</v>
      </c>
      <c r="N31" s="51"/>
      <c r="O31" s="517"/>
      <c r="P31" s="139"/>
      <c r="Q31" s="137"/>
      <c r="R31" s="132"/>
      <c r="S31" s="51">
        <v>3</v>
      </c>
      <c r="T31" s="51">
        <v>74097</v>
      </c>
      <c r="U31" s="386" t="s">
        <v>970</v>
      </c>
      <c r="V31" s="2">
        <v>2150</v>
      </c>
      <c r="W31" s="137"/>
      <c r="X31" s="405"/>
      <c r="Y31" s="51">
        <v>3</v>
      </c>
      <c r="Z31" s="51"/>
      <c r="AA31" s="512"/>
      <c r="AB31" s="139"/>
      <c r="AC31" s="137"/>
      <c r="AD31" s="132"/>
      <c r="AE31" s="516"/>
    </row>
    <row r="32" spans="1:31" ht="15.75" customHeight="1">
      <c r="A32" s="51">
        <v>3</v>
      </c>
      <c r="B32" s="51"/>
      <c r="C32" s="512"/>
      <c r="D32" s="139"/>
      <c r="E32" s="137"/>
      <c r="F32" s="132"/>
      <c r="G32" s="51">
        <v>3</v>
      </c>
      <c r="H32" s="51"/>
      <c r="I32" s="386"/>
      <c r="J32" s="2"/>
      <c r="K32" s="137"/>
      <c r="L32" s="399"/>
      <c r="M32" s="51">
        <v>3</v>
      </c>
      <c r="N32" s="51"/>
      <c r="O32" s="517"/>
      <c r="P32" s="139"/>
      <c r="Q32" s="137"/>
      <c r="R32" s="132"/>
      <c r="S32" s="51">
        <v>3</v>
      </c>
      <c r="T32" s="51"/>
      <c r="U32" s="386"/>
      <c r="V32" s="2"/>
      <c r="W32" s="137"/>
      <c r="X32" s="405"/>
      <c r="Y32" s="51">
        <v>3</v>
      </c>
      <c r="Z32" s="51"/>
      <c r="AA32" s="512"/>
      <c r="AB32" s="139"/>
      <c r="AC32" s="137"/>
      <c r="AD32" s="132"/>
      <c r="AE32" s="516"/>
    </row>
    <row r="33" spans="1:31" ht="15.75" customHeight="1">
      <c r="A33" s="51">
        <v>3</v>
      </c>
      <c r="B33" s="51"/>
      <c r="C33" s="512"/>
      <c r="D33" s="139"/>
      <c r="E33" s="137"/>
      <c r="F33" s="132"/>
      <c r="G33" s="51">
        <v>3</v>
      </c>
      <c r="H33" s="51"/>
      <c r="I33" s="512"/>
      <c r="J33" s="139"/>
      <c r="K33" s="137"/>
      <c r="L33" s="132"/>
      <c r="M33" s="51">
        <v>3</v>
      </c>
      <c r="N33" s="51"/>
      <c r="O33" s="517"/>
      <c r="P33" s="139"/>
      <c r="Q33" s="137"/>
      <c r="R33" s="132"/>
      <c r="S33" s="51">
        <v>3</v>
      </c>
      <c r="T33" s="51"/>
      <c r="U33" s="386"/>
      <c r="V33" s="2"/>
      <c r="W33" s="137"/>
      <c r="X33" s="405"/>
      <c r="Y33" s="51">
        <v>3</v>
      </c>
      <c r="Z33" s="51"/>
      <c r="AA33" s="512"/>
      <c r="AB33" s="139"/>
      <c r="AC33" s="137"/>
      <c r="AD33" s="132"/>
      <c r="AE33" s="516"/>
    </row>
    <row r="34" spans="1:31" ht="15.75" customHeight="1" thickBot="1">
      <c r="A34" s="51">
        <v>3</v>
      </c>
      <c r="B34" s="51"/>
      <c r="C34" s="520"/>
      <c r="D34" s="208"/>
      <c r="E34" s="138"/>
      <c r="F34" s="133"/>
      <c r="G34" s="51">
        <v>3</v>
      </c>
      <c r="H34" s="51"/>
      <c r="I34" s="520"/>
      <c r="J34" s="208"/>
      <c r="K34" s="135"/>
      <c r="L34" s="133"/>
      <c r="M34" s="51">
        <v>3</v>
      </c>
      <c r="N34" s="51"/>
      <c r="O34" s="518"/>
      <c r="P34" s="208"/>
      <c r="Q34" s="138"/>
      <c r="R34" s="133"/>
      <c r="S34" s="51">
        <v>3</v>
      </c>
      <c r="T34" s="51"/>
      <c r="U34" s="520"/>
      <c r="V34" s="208"/>
      <c r="W34" s="138"/>
      <c r="X34" s="133"/>
      <c r="Y34" s="51">
        <v>3</v>
      </c>
      <c r="Z34" s="51"/>
      <c r="AA34" s="520"/>
      <c r="AB34" s="208"/>
      <c r="AC34" s="138"/>
      <c r="AD34" s="133"/>
      <c r="AE34" s="516"/>
    </row>
    <row r="35" spans="1:31" ht="15.75" customHeight="1" thickTop="1">
      <c r="A35" s="51">
        <v>4</v>
      </c>
      <c r="B35" s="51"/>
      <c r="C35" s="523" t="s">
        <v>253</v>
      </c>
      <c r="D35" s="535">
        <f xml:space="preserve"> SUM(D29:D34)</f>
        <v>2000</v>
      </c>
      <c r="E35" s="28"/>
      <c r="F35" s="75">
        <f>SUM(F29:F34)</f>
        <v>0</v>
      </c>
      <c r="G35" s="51">
        <v>4</v>
      </c>
      <c r="H35" s="51"/>
      <c r="I35" s="523" t="s">
        <v>253</v>
      </c>
      <c r="J35" s="535">
        <f xml:space="preserve"> SUM(J29:J34)</f>
        <v>2850</v>
      </c>
      <c r="K35" s="25"/>
      <c r="L35" s="75">
        <f>SUM(L29:L34)</f>
        <v>0</v>
      </c>
      <c r="M35" s="51">
        <v>4</v>
      </c>
      <c r="N35" s="51"/>
      <c r="O35" s="521" t="s">
        <v>253</v>
      </c>
      <c r="P35" s="535">
        <f xml:space="preserve"> SUM(P29:P34)</f>
        <v>1850</v>
      </c>
      <c r="Q35" s="28"/>
      <c r="R35" s="75">
        <f>SUM(R29:R34)</f>
        <v>0</v>
      </c>
      <c r="S35" s="51">
        <v>4</v>
      </c>
      <c r="T35" s="51"/>
      <c r="U35" s="523" t="s">
        <v>253</v>
      </c>
      <c r="V35" s="27">
        <f xml:space="preserve"> SUM(V29:V34)</f>
        <v>4050</v>
      </c>
      <c r="W35" s="28"/>
      <c r="X35" s="75">
        <f>SUM(X29:X34)</f>
        <v>0</v>
      </c>
      <c r="Y35" s="51">
        <v>4</v>
      </c>
      <c r="Z35" s="51"/>
      <c r="AA35" s="523" t="s">
        <v>253</v>
      </c>
      <c r="AB35" s="27">
        <f xml:space="preserve"> SUM(AB29:AB34)</f>
        <v>0</v>
      </c>
      <c r="AC35" s="28"/>
      <c r="AD35" s="75">
        <f>SUM(AD29:AD34)</f>
        <v>0</v>
      </c>
      <c r="AE35" s="524">
        <f>D35+J35+P35+V35+AB35</f>
        <v>10750</v>
      </c>
    </row>
    <row r="36" spans="1:31" ht="15.75" customHeight="1">
      <c r="A36" s="51">
        <v>9</v>
      </c>
      <c r="B36" s="51"/>
      <c r="G36" s="51">
        <v>9</v>
      </c>
      <c r="H36" s="51"/>
      <c r="I36" s="489"/>
      <c r="J36" s="489"/>
      <c r="K36" s="489"/>
      <c r="L36" s="489"/>
      <c r="M36" s="51">
        <v>9</v>
      </c>
      <c r="N36" s="51"/>
      <c r="O36" s="489"/>
      <c r="P36" s="489"/>
      <c r="Q36" s="489"/>
      <c r="R36" s="489"/>
      <c r="S36" s="51">
        <v>9</v>
      </c>
      <c r="T36" s="51"/>
      <c r="U36" s="489"/>
      <c r="V36" s="489"/>
      <c r="W36" s="489"/>
      <c r="X36" s="489"/>
      <c r="Y36" s="51">
        <v>9</v>
      </c>
      <c r="Z36" s="51"/>
      <c r="AA36" s="489"/>
      <c r="AB36" s="489"/>
      <c r="AD36" s="527" t="s">
        <v>254</v>
      </c>
      <c r="AE36" s="103">
        <f>A大阪市西成区折込部数+M大阪市西成区折込部数+S大阪市西成区折込部数+Y大阪市西成区折込部数+AD35</f>
        <v>0</v>
      </c>
    </row>
    <row r="37" spans="1:31"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</row>
    <row r="38" spans="1:31"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</row>
    <row r="39" spans="1:31"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</row>
    <row r="40" spans="1:31"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</row>
    <row r="41" spans="1:31"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</row>
    <row r="42" spans="1:31"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</row>
    <row r="43" spans="1:31"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</row>
    <row r="44" spans="1:31"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</row>
    <row r="45" spans="1:31"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</row>
    <row r="46" spans="1:31"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</row>
    <row r="47" spans="1:31"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1:31"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3:31"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3:31"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3:31"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3:31"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3:31"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3:31"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</row>
    <row r="55" spans="3:31"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3:31"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</row>
    <row r="57" spans="3:31"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</row>
    <row r="58" spans="3:3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</row>
    <row r="59" spans="3:31"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</row>
    <row r="60" spans="3:31"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</row>
    <row r="61" spans="3:31"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</row>
    <row r="62" spans="3:31"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</row>
    <row r="63" spans="3:31"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</row>
    <row r="64" spans="3:31"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</row>
    <row r="65" spans="3:31"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</row>
    <row r="66" spans="3:31"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</row>
    <row r="67" spans="3:31"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</row>
    <row r="68" spans="3:3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</row>
    <row r="69" spans="3:31"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</row>
    <row r="70" spans="3:31"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</row>
    <row r="71" spans="3:31"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</row>
    <row r="72" spans="3:31"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</sheetData>
  <sheetProtection formatCells="0"/>
  <mergeCells count="15">
    <mergeCell ref="AA5:AC6"/>
    <mergeCell ref="AA7:AE8"/>
    <mergeCell ref="O27:R27"/>
    <mergeCell ref="C2:F3"/>
    <mergeCell ref="AA10:AD10"/>
    <mergeCell ref="W5:X5"/>
    <mergeCell ref="D5:L6"/>
    <mergeCell ref="C10:F10"/>
    <mergeCell ref="I10:L10"/>
    <mergeCell ref="O10:R10"/>
    <mergeCell ref="U10:X10"/>
    <mergeCell ref="D7:L8"/>
    <mergeCell ref="W7:X7"/>
    <mergeCell ref="P5:V6"/>
    <mergeCell ref="P7:Q8"/>
  </mergeCells>
  <phoneticPr fontId="2"/>
  <conditionalFormatting sqref="F13">
    <cfRule type="cellIs" dxfId="43" priority="2" operator="greaterThan">
      <formula>D13</formula>
    </cfRule>
  </conditionalFormatting>
  <conditionalFormatting sqref="L13:L15 R13:R14 X13 F21:F22 L21:L22 R21 X21:X23 F29:F30 L29:L31 R29 X29:X33">
    <cfRule type="cellIs" dxfId="42" priority="1" operator="greaterThan">
      <formula>D13</formula>
    </cfRule>
  </conditionalFormatting>
  <hyperlinks>
    <hyperlink ref="C2:F3" location="提案表紙!A1" display="大阪府折込資料表" xr:uid="{00000000-0004-0000-09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&amp;L浪速区・阿倍野区・西成区
&amp;RP-6/34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B6D2F5"/>
    <pageSetUpPr fitToPage="1"/>
  </sheetPr>
  <dimension ref="A1:AE88"/>
  <sheetViews>
    <sheetView showZeros="0" topLeftCell="C2" zoomScaleNormal="100" workbookViewId="0">
      <selection activeCell="C2" sqref="C2:F3"/>
    </sheetView>
  </sheetViews>
  <sheetFormatPr defaultRowHeight="13.2"/>
  <cols>
    <col min="1" max="2" width="9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customWidth="1"/>
    <col min="25" max="26" width="8.6640625" hidden="1" customWidth="1"/>
    <col min="27" max="27" width="13.6640625" customWidth="1"/>
    <col min="28" max="28" width="6.77734375" style="15" customWidth="1"/>
    <col min="29" max="29" width="3.33203125" customWidth="1"/>
    <col min="30" max="30" width="8.77734375" customWidth="1"/>
    <col min="31" max="31" width="9.109375" bestFit="1" customWidth="1"/>
  </cols>
  <sheetData>
    <row r="1" spans="1:31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B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S2" s="51"/>
      <c r="W2" s="500"/>
      <c r="X2" s="500" t="s">
        <v>1313</v>
      </c>
      <c r="AB2"/>
    </row>
    <row r="3" spans="1:31" ht="13.5" customHeight="1">
      <c r="C3" s="835"/>
      <c r="D3" s="835"/>
      <c r="E3" s="835"/>
      <c r="F3" s="835"/>
      <c r="G3" s="460"/>
      <c r="H3" s="460"/>
      <c r="I3" s="114" t="s">
        <v>561</v>
      </c>
      <c r="K3"/>
      <c r="L3"/>
      <c r="M3"/>
      <c r="N3"/>
      <c r="Q3"/>
      <c r="S3" s="51"/>
      <c r="W3" s="500"/>
      <c r="X3" s="500" t="s">
        <v>1501</v>
      </c>
      <c r="AB3"/>
    </row>
    <row r="4" spans="1:31" ht="13.5" customHeight="1">
      <c r="C4" t="s">
        <v>317</v>
      </c>
      <c r="E4"/>
      <c r="F4"/>
      <c r="G4"/>
      <c r="H4"/>
      <c r="I4" s="187">
        <v>45717</v>
      </c>
      <c r="J4" s="186" t="s">
        <v>0</v>
      </c>
      <c r="K4" t="s">
        <v>272</v>
      </c>
      <c r="L4"/>
      <c r="M4"/>
      <c r="N4"/>
      <c r="Q4"/>
      <c r="S4" s="51"/>
      <c r="W4" s="500"/>
      <c r="X4" s="500" t="s">
        <v>1500</v>
      </c>
      <c r="AB4"/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3"/>
      <c r="M5" s="462"/>
      <c r="N5" s="463"/>
      <c r="O5" s="13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5"/>
      <c r="M6" s="462"/>
      <c r="N6" s="463"/>
      <c r="O6" s="11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3"/>
      <c r="M7" s="462"/>
      <c r="N7" s="463"/>
      <c r="O7" s="13" t="s">
        <v>298</v>
      </c>
      <c r="P7" s="827">
        <f>提案表紙!G9</f>
        <v>0</v>
      </c>
      <c r="Q7" s="828"/>
      <c r="R7" s="7" t="s">
        <v>249</v>
      </c>
      <c r="U7" s="410">
        <f>大阪市天王寺区折込部数+大阪市生野区折込部数+大阪市東成区折込部数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5"/>
      <c r="M8" s="462"/>
      <c r="N8" s="463"/>
      <c r="O8" s="464"/>
      <c r="P8" s="829"/>
      <c r="Q8" s="830"/>
      <c r="R8" s="9" t="s">
        <v>250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W9"/>
      <c r="AB9"/>
    </row>
    <row r="10" spans="1:31" ht="16.2" customHeight="1">
      <c r="A10" s="51">
        <v>1</v>
      </c>
      <c r="B10" s="51">
        <v>2</v>
      </c>
      <c r="C10" s="818" t="s">
        <v>309</v>
      </c>
      <c r="D10" s="819"/>
      <c r="E10" s="819"/>
      <c r="F10" s="820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311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505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505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505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505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505" t="s">
        <v>231</v>
      </c>
      <c r="AE11" s="507" t="s">
        <v>308</v>
      </c>
    </row>
    <row r="12" spans="1:31" ht="16.2" customHeight="1">
      <c r="A12" s="51">
        <v>2</v>
      </c>
      <c r="B12" s="488" t="s">
        <v>1400</v>
      </c>
      <c r="C12" s="46" t="s">
        <v>905</v>
      </c>
      <c r="G12" s="51">
        <v>2</v>
      </c>
      <c r="H12" s="488" t="s">
        <v>1400</v>
      </c>
      <c r="M12" s="51">
        <v>2</v>
      </c>
      <c r="N12" s="488" t="s">
        <v>1400</v>
      </c>
      <c r="S12" s="51">
        <v>2</v>
      </c>
      <c r="T12" s="488" t="s">
        <v>1400</v>
      </c>
      <c r="Y12" s="51">
        <v>2</v>
      </c>
      <c r="Z12" s="488" t="s">
        <v>1400</v>
      </c>
    </row>
    <row r="13" spans="1:31" ht="16.2" customHeight="1">
      <c r="A13" s="51">
        <v>3</v>
      </c>
      <c r="B13" s="51"/>
      <c r="C13" s="441"/>
      <c r="D13" s="497"/>
      <c r="E13" s="155"/>
      <c r="F13" s="404"/>
      <c r="G13" s="51">
        <v>3</v>
      </c>
      <c r="H13" s="51">
        <v>73079</v>
      </c>
      <c r="I13" s="441" t="s">
        <v>972</v>
      </c>
      <c r="J13" s="148">
        <v>3550</v>
      </c>
      <c r="K13" s="155"/>
      <c r="L13" s="404"/>
      <c r="M13" s="51">
        <v>3</v>
      </c>
      <c r="N13" s="51">
        <v>75087</v>
      </c>
      <c r="O13" s="441" t="s">
        <v>973</v>
      </c>
      <c r="P13" s="148">
        <v>850</v>
      </c>
      <c r="Q13" s="155"/>
      <c r="R13" s="404"/>
      <c r="S13" s="51">
        <v>3</v>
      </c>
      <c r="T13" s="51">
        <v>74099</v>
      </c>
      <c r="U13" s="441" t="s">
        <v>973</v>
      </c>
      <c r="V13" s="148">
        <v>1650</v>
      </c>
      <c r="W13" s="155"/>
      <c r="X13" s="404"/>
      <c r="Y13" s="51">
        <v>3</v>
      </c>
      <c r="Z13" s="51"/>
      <c r="AA13" s="703"/>
      <c r="AB13" s="225"/>
      <c r="AC13" s="511"/>
      <c r="AD13" s="129"/>
      <c r="AE13" s="513"/>
    </row>
    <row r="14" spans="1:31" ht="16.2" customHeight="1">
      <c r="A14" s="51">
        <v>3</v>
      </c>
      <c r="B14" s="51"/>
      <c r="C14" s="512"/>
      <c r="D14" s="139"/>
      <c r="E14" s="142"/>
      <c r="F14" s="132"/>
      <c r="G14" s="51">
        <v>3</v>
      </c>
      <c r="H14" s="51"/>
      <c r="I14" s="386"/>
      <c r="J14" s="143"/>
      <c r="K14" s="142"/>
      <c r="L14" s="405"/>
      <c r="M14" s="51">
        <v>3</v>
      </c>
      <c r="N14" s="51">
        <v>75089</v>
      </c>
      <c r="O14" s="698" t="s">
        <v>1087</v>
      </c>
      <c r="P14" s="351">
        <v>800</v>
      </c>
      <c r="Q14" s="142"/>
      <c r="R14" s="405"/>
      <c r="S14" s="51">
        <v>3</v>
      </c>
      <c r="T14" s="51">
        <v>74101</v>
      </c>
      <c r="U14" s="698" t="s">
        <v>972</v>
      </c>
      <c r="V14" s="143">
        <v>950</v>
      </c>
      <c r="W14" s="142"/>
      <c r="X14" s="405"/>
      <c r="Y14" s="51">
        <v>3</v>
      </c>
      <c r="Z14" s="51"/>
      <c r="AA14" s="512"/>
      <c r="AB14" s="176"/>
      <c r="AC14" s="515"/>
      <c r="AD14" s="132"/>
      <c r="AE14" s="516"/>
    </row>
    <row r="15" spans="1:31" ht="16.2" customHeight="1">
      <c r="A15" s="51">
        <v>3</v>
      </c>
      <c r="B15" s="51"/>
      <c r="C15" s="512"/>
      <c r="D15" s="139"/>
      <c r="E15" s="142"/>
      <c r="F15" s="132"/>
      <c r="G15" s="51">
        <v>3</v>
      </c>
      <c r="H15" s="51"/>
      <c r="I15" s="386"/>
      <c r="J15" s="143"/>
      <c r="K15" s="142"/>
      <c r="L15" s="405"/>
      <c r="M15" s="51">
        <v>3</v>
      </c>
      <c r="N15" s="51"/>
      <c r="O15" s="520"/>
      <c r="P15" s="139"/>
      <c r="Q15" s="137"/>
      <c r="R15" s="132"/>
      <c r="S15" s="51">
        <v>3</v>
      </c>
      <c r="T15" s="51"/>
      <c r="U15" s="386"/>
      <c r="V15" s="143"/>
      <c r="W15" s="142"/>
      <c r="X15" s="405"/>
      <c r="Y15" s="51">
        <v>3</v>
      </c>
      <c r="Z15" s="51"/>
      <c r="AA15" s="512"/>
      <c r="AB15" s="176"/>
      <c r="AC15" s="515"/>
      <c r="AD15" s="132"/>
      <c r="AE15" s="516"/>
    </row>
    <row r="16" spans="1:31" ht="16.5" customHeight="1">
      <c r="A16" s="51">
        <v>3</v>
      </c>
      <c r="B16" s="51"/>
      <c r="C16" s="533"/>
      <c r="D16" s="139"/>
      <c r="E16" s="142"/>
      <c r="F16" s="132"/>
      <c r="G16" s="51">
        <v>3</v>
      </c>
      <c r="H16" s="51"/>
      <c r="I16" s="386"/>
      <c r="J16" s="143"/>
      <c r="K16" s="142"/>
      <c r="L16" s="405"/>
      <c r="M16" s="51">
        <v>3</v>
      </c>
      <c r="N16" s="51"/>
      <c r="O16" s="512"/>
      <c r="P16" s="139"/>
      <c r="Q16" s="137"/>
      <c r="R16" s="132"/>
      <c r="S16" s="51">
        <v>3</v>
      </c>
      <c r="T16" s="51"/>
      <c r="U16" s="512"/>
      <c r="V16" s="139"/>
      <c r="W16" s="142"/>
      <c r="X16" s="132"/>
      <c r="Y16" s="51">
        <v>3</v>
      </c>
      <c r="Z16" s="51"/>
      <c r="AA16" s="512"/>
      <c r="AB16" s="176"/>
      <c r="AC16" s="515"/>
      <c r="AD16" s="132"/>
      <c r="AE16" s="516"/>
    </row>
    <row r="17" spans="1:31" ht="15.75" hidden="1" customHeight="1">
      <c r="A17" s="51"/>
      <c r="B17" s="51"/>
      <c r="C17" s="512"/>
      <c r="D17" s="139"/>
      <c r="E17" s="142"/>
      <c r="F17" s="132"/>
      <c r="G17" s="51"/>
      <c r="H17" s="51"/>
      <c r="I17" s="386"/>
      <c r="J17" s="2"/>
      <c r="K17" s="142"/>
      <c r="L17" s="132"/>
      <c r="M17" s="51"/>
      <c r="N17" s="51"/>
      <c r="O17" s="512"/>
      <c r="P17" s="139"/>
      <c r="Q17" s="137"/>
      <c r="R17" s="132"/>
      <c r="S17" s="51"/>
      <c r="T17" s="51"/>
      <c r="U17" s="512"/>
      <c r="V17" s="139"/>
      <c r="W17" s="142"/>
      <c r="X17" s="132"/>
      <c r="Y17" s="51"/>
      <c r="Z17" s="51"/>
      <c r="AA17" s="512"/>
      <c r="AB17" s="176"/>
      <c r="AC17" s="515"/>
      <c r="AD17" s="132"/>
      <c r="AE17" s="516"/>
    </row>
    <row r="18" spans="1:31" ht="15.75" customHeight="1" thickBot="1">
      <c r="A18" s="51">
        <v>3</v>
      </c>
      <c r="B18" s="51"/>
      <c r="C18" s="520"/>
      <c r="D18" s="208"/>
      <c r="E18" s="138"/>
      <c r="F18" s="133"/>
      <c r="G18" s="51">
        <v>3</v>
      </c>
      <c r="H18" s="51"/>
      <c r="I18" s="520"/>
      <c r="J18" s="208"/>
      <c r="K18" s="138"/>
      <c r="L18" s="133"/>
      <c r="M18" s="51">
        <v>3</v>
      </c>
      <c r="N18" s="51"/>
      <c r="O18" s="520"/>
      <c r="P18" s="208"/>
      <c r="Q18" s="138"/>
      <c r="R18" s="133"/>
      <c r="S18" s="51">
        <v>3</v>
      </c>
      <c r="T18" s="51"/>
      <c r="U18" s="520"/>
      <c r="V18" s="208"/>
      <c r="W18" s="138"/>
      <c r="X18" s="133"/>
      <c r="Y18" s="51">
        <v>3</v>
      </c>
      <c r="Z18" s="51"/>
      <c r="AA18" s="520"/>
      <c r="AB18" s="167"/>
      <c r="AC18" s="519"/>
      <c r="AD18" s="133"/>
      <c r="AE18" s="516"/>
    </row>
    <row r="19" spans="1:31" ht="16.2" customHeight="1" thickTop="1">
      <c r="A19" s="51">
        <v>4</v>
      </c>
      <c r="B19" s="51"/>
      <c r="C19" s="523" t="s">
        <v>273</v>
      </c>
      <c r="D19" s="27">
        <f>SUM(D13:D18)</f>
        <v>0</v>
      </c>
      <c r="E19" s="28"/>
      <c r="F19" s="75">
        <f>SUM(F13:F18)</f>
        <v>0</v>
      </c>
      <c r="G19" s="51">
        <v>4</v>
      </c>
      <c r="H19" s="51"/>
      <c r="I19" s="523" t="s">
        <v>273</v>
      </c>
      <c r="J19" s="27">
        <f>SUM(J13:J18)</f>
        <v>3550</v>
      </c>
      <c r="K19" s="28"/>
      <c r="L19" s="75">
        <f>SUM(L13:L18)</f>
        <v>0</v>
      </c>
      <c r="M19" s="51">
        <v>4</v>
      </c>
      <c r="N19" s="51"/>
      <c r="O19" s="523" t="s">
        <v>273</v>
      </c>
      <c r="P19" s="27">
        <f>SUM(P13:P18)</f>
        <v>1650</v>
      </c>
      <c r="Q19" s="28"/>
      <c r="R19" s="75">
        <f>SUM(R13:R18)</f>
        <v>0</v>
      </c>
      <c r="S19" s="51">
        <v>4</v>
      </c>
      <c r="T19" s="51"/>
      <c r="U19" s="523" t="s">
        <v>273</v>
      </c>
      <c r="V19" s="27">
        <f>SUM(V13:V18)</f>
        <v>2600</v>
      </c>
      <c r="W19" s="28"/>
      <c r="X19" s="75">
        <f>SUM(X13:X18)</f>
        <v>0</v>
      </c>
      <c r="Y19" s="51">
        <v>4</v>
      </c>
      <c r="Z19" s="51"/>
      <c r="AA19" s="523" t="s">
        <v>273</v>
      </c>
      <c r="AB19" s="34">
        <f>SUM(AB13:AB18)</f>
        <v>0</v>
      </c>
      <c r="AC19" s="522"/>
      <c r="AD19" s="75">
        <f>SUM(AD13:AD18)</f>
        <v>0</v>
      </c>
      <c r="AE19" s="524">
        <f>D19+J19+P19+V19+AB19</f>
        <v>7800</v>
      </c>
    </row>
    <row r="20" spans="1:31" ht="16.2" customHeight="1">
      <c r="A20" s="51"/>
      <c r="B20" s="51"/>
      <c r="C20" s="526"/>
      <c r="D20" s="210"/>
      <c r="E20" s="31"/>
      <c r="F20" s="29"/>
      <c r="G20" s="51"/>
      <c r="H20" s="51"/>
      <c r="I20" s="13"/>
      <c r="J20" s="29"/>
      <c r="K20" s="31"/>
      <c r="L20" s="526"/>
      <c r="M20" s="51"/>
      <c r="N20" s="51"/>
      <c r="O20" s="526"/>
      <c r="P20" s="210"/>
      <c r="Q20" s="216"/>
      <c r="R20" s="526"/>
      <c r="S20" s="51"/>
      <c r="T20" s="51"/>
      <c r="U20" s="13"/>
      <c r="V20" s="29"/>
      <c r="W20" s="31"/>
      <c r="X20" s="526"/>
      <c r="Y20" s="51"/>
      <c r="Z20" s="51"/>
      <c r="AA20" s="526"/>
      <c r="AB20" s="228"/>
      <c r="AC20" s="13"/>
      <c r="AD20" s="527" t="s">
        <v>412</v>
      </c>
      <c r="AE20" s="93">
        <f>A大阪市天王寺区折込部数+M大阪市天王寺区折込部数+S大阪市天王寺区折込部数+Y大阪市天王寺区折込部数+AD19</f>
        <v>0</v>
      </c>
    </row>
    <row r="21" spans="1:31" ht="16.2" customHeight="1">
      <c r="A21" s="51">
        <v>2</v>
      </c>
      <c r="B21" s="488" t="s">
        <v>1401</v>
      </c>
      <c r="C21" s="46" t="s">
        <v>974</v>
      </c>
      <c r="D21" s="12"/>
      <c r="E21" s="19"/>
      <c r="F21" s="464"/>
      <c r="G21" s="51">
        <v>2</v>
      </c>
      <c r="H21" s="488" t="s">
        <v>1401</v>
      </c>
      <c r="I21" s="489"/>
      <c r="J21" s="211"/>
      <c r="K21" s="212"/>
      <c r="L21" s="464"/>
      <c r="M21" s="51">
        <v>2</v>
      </c>
      <c r="N21" s="488" t="s">
        <v>1401</v>
      </c>
      <c r="O21" s="464"/>
      <c r="P21" s="211"/>
      <c r="Q21" s="212"/>
      <c r="R21" s="464"/>
      <c r="S21" s="51">
        <v>2</v>
      </c>
      <c r="T21" s="488" t="s">
        <v>1401</v>
      </c>
      <c r="U21" s="464"/>
      <c r="V21" s="211"/>
      <c r="W21" s="212"/>
      <c r="X21" s="464"/>
      <c r="Y21" s="51">
        <v>2</v>
      </c>
      <c r="Z21" s="488" t="s">
        <v>1401</v>
      </c>
      <c r="AA21" s="464"/>
      <c r="AB21" s="227"/>
      <c r="AC21" s="11"/>
      <c r="AD21" s="11"/>
      <c r="AE21" s="11"/>
    </row>
    <row r="22" spans="1:31" ht="16.2" customHeight="1">
      <c r="A22" s="51">
        <v>3</v>
      </c>
      <c r="B22" s="51">
        <v>72073</v>
      </c>
      <c r="C22" s="441" t="s">
        <v>976</v>
      </c>
      <c r="D22" s="267">
        <v>650</v>
      </c>
      <c r="E22" s="142"/>
      <c r="F22" s="404"/>
      <c r="G22" s="51">
        <v>3</v>
      </c>
      <c r="H22" s="51">
        <v>73081</v>
      </c>
      <c r="I22" s="441" t="s">
        <v>611</v>
      </c>
      <c r="J22" s="148">
        <v>3750</v>
      </c>
      <c r="K22" s="142"/>
      <c r="L22" s="404"/>
      <c r="M22" s="51">
        <v>3</v>
      </c>
      <c r="N22" s="51">
        <v>75091</v>
      </c>
      <c r="O22" s="441" t="s">
        <v>978</v>
      </c>
      <c r="P22" s="148">
        <v>2100</v>
      </c>
      <c r="Q22" s="155"/>
      <c r="R22" s="404"/>
      <c r="S22" s="51">
        <v>3</v>
      </c>
      <c r="T22" s="51">
        <v>74103</v>
      </c>
      <c r="U22" s="441" t="s">
        <v>977</v>
      </c>
      <c r="V22" s="148">
        <v>1500</v>
      </c>
      <c r="W22" s="142"/>
      <c r="X22" s="404"/>
      <c r="Y22" s="51">
        <v>3</v>
      </c>
      <c r="Z22" s="51"/>
      <c r="AA22" s="703"/>
      <c r="AB22" s="225"/>
      <c r="AC22" s="511"/>
      <c r="AD22" s="129"/>
      <c r="AE22" s="513"/>
    </row>
    <row r="23" spans="1:31" ht="16.2" customHeight="1">
      <c r="A23" s="51">
        <v>3</v>
      </c>
      <c r="B23" s="51">
        <v>72074</v>
      </c>
      <c r="C23" s="386" t="s">
        <v>1465</v>
      </c>
      <c r="D23" s="143">
        <v>800</v>
      </c>
      <c r="E23" s="142"/>
      <c r="F23" s="405"/>
      <c r="G23" s="51">
        <v>3</v>
      </c>
      <c r="H23" s="51">
        <v>73083</v>
      </c>
      <c r="I23" s="691" t="s">
        <v>1314</v>
      </c>
      <c r="J23" s="143">
        <v>2250</v>
      </c>
      <c r="K23" s="142"/>
      <c r="L23" s="405"/>
      <c r="M23" s="51">
        <v>3</v>
      </c>
      <c r="N23" s="51">
        <v>75093</v>
      </c>
      <c r="O23" s="691" t="s">
        <v>980</v>
      </c>
      <c r="P23" s="352">
        <v>700</v>
      </c>
      <c r="Q23" s="156"/>
      <c r="R23" s="405"/>
      <c r="S23" s="51">
        <v>3</v>
      </c>
      <c r="T23" s="51">
        <v>74105</v>
      </c>
      <c r="U23" s="386" t="s">
        <v>983</v>
      </c>
      <c r="V23" s="143">
        <v>1600</v>
      </c>
      <c r="W23" s="142"/>
      <c r="X23" s="405"/>
      <c r="Y23" s="51">
        <v>3</v>
      </c>
      <c r="Z23" s="51"/>
      <c r="AA23" s="512"/>
      <c r="AB23" s="176"/>
      <c r="AC23" s="515"/>
      <c r="AD23" s="132"/>
      <c r="AE23" s="516"/>
    </row>
    <row r="24" spans="1:31" ht="16.2" customHeight="1">
      <c r="A24" s="51">
        <v>3</v>
      </c>
      <c r="B24" s="51">
        <v>72075</v>
      </c>
      <c r="C24" s="386" t="s">
        <v>1133</v>
      </c>
      <c r="D24" s="143">
        <v>1700</v>
      </c>
      <c r="E24" s="142"/>
      <c r="F24" s="405"/>
      <c r="G24" s="51">
        <v>3</v>
      </c>
      <c r="H24" s="51">
        <v>73085</v>
      </c>
      <c r="I24" s="698" t="s">
        <v>979</v>
      </c>
      <c r="J24" s="143">
        <v>1750</v>
      </c>
      <c r="K24" s="142"/>
      <c r="L24" s="405"/>
      <c r="M24" s="51">
        <v>3</v>
      </c>
      <c r="N24" s="51">
        <v>75095</v>
      </c>
      <c r="O24" s="386" t="s">
        <v>981</v>
      </c>
      <c r="P24" s="143">
        <v>600</v>
      </c>
      <c r="Q24" s="137"/>
      <c r="R24" s="405"/>
      <c r="S24" s="51">
        <v>3</v>
      </c>
      <c r="T24" s="51"/>
      <c r="U24" s="386"/>
      <c r="V24" s="143"/>
      <c r="W24" s="142"/>
      <c r="X24" s="405"/>
      <c r="Y24" s="51">
        <v>3</v>
      </c>
      <c r="Z24" s="51"/>
      <c r="AA24" s="512"/>
      <c r="AB24" s="176"/>
      <c r="AC24" s="515"/>
      <c r="AD24" s="132"/>
      <c r="AE24" s="516"/>
    </row>
    <row r="25" spans="1:31" ht="16.2" customHeight="1">
      <c r="A25" s="51">
        <v>3</v>
      </c>
      <c r="B25" s="51"/>
      <c r="C25" s="386"/>
      <c r="D25" s="143"/>
      <c r="E25" s="142"/>
      <c r="F25" s="132"/>
      <c r="G25" s="51">
        <v>3</v>
      </c>
      <c r="H25" s="51">
        <v>73087</v>
      </c>
      <c r="I25" s="386" t="s">
        <v>975</v>
      </c>
      <c r="J25" s="143">
        <v>2650</v>
      </c>
      <c r="K25" s="137"/>
      <c r="L25" s="405"/>
      <c r="M25" s="51">
        <v>3</v>
      </c>
      <c r="N25" s="51">
        <v>75097</v>
      </c>
      <c r="O25" s="386" t="s">
        <v>982</v>
      </c>
      <c r="P25" s="143">
        <v>900</v>
      </c>
      <c r="Q25" s="137"/>
      <c r="R25" s="405"/>
      <c r="S25" s="51">
        <v>3</v>
      </c>
      <c r="T25" s="51"/>
      <c r="U25" s="386"/>
      <c r="V25" s="143"/>
      <c r="W25" s="142"/>
      <c r="X25" s="405"/>
      <c r="Y25" s="51">
        <v>3</v>
      </c>
      <c r="Z25" s="51"/>
      <c r="AA25" s="512"/>
      <c r="AB25" s="176"/>
      <c r="AC25" s="515"/>
      <c r="AD25" s="132"/>
      <c r="AE25" s="516"/>
    </row>
    <row r="26" spans="1:31" ht="16.2" customHeight="1">
      <c r="A26" s="51">
        <v>3</v>
      </c>
      <c r="B26" s="51"/>
      <c r="C26" s="512"/>
      <c r="D26" s="139"/>
      <c r="E26" s="142"/>
      <c r="F26" s="132"/>
      <c r="G26" s="51">
        <v>3</v>
      </c>
      <c r="H26" s="51"/>
      <c r="I26" s="512"/>
      <c r="J26" s="139"/>
      <c r="K26" s="137"/>
      <c r="L26" s="132"/>
      <c r="M26" s="51">
        <v>3</v>
      </c>
      <c r="N26" s="51"/>
      <c r="O26" s="386"/>
      <c r="P26" s="143"/>
      <c r="Q26" s="137"/>
      <c r="R26" s="132"/>
      <c r="S26" s="51">
        <v>3</v>
      </c>
      <c r="T26" s="51"/>
      <c r="U26" s="512"/>
      <c r="V26" s="139"/>
      <c r="W26" s="137" t="s">
        <v>306</v>
      </c>
      <c r="X26" s="132"/>
      <c r="Y26" s="51">
        <v>3</v>
      </c>
      <c r="Z26" s="51"/>
      <c r="AA26" s="512"/>
      <c r="AB26" s="176"/>
      <c r="AC26" s="515"/>
      <c r="AD26" s="132"/>
      <c r="AE26" s="516"/>
    </row>
    <row r="27" spans="1:31" ht="16.2" customHeight="1">
      <c r="A27" s="51">
        <v>3</v>
      </c>
      <c r="B27" s="51"/>
      <c r="C27" s="512"/>
      <c r="D27" s="139"/>
      <c r="E27" s="137" t="s">
        <v>306</v>
      </c>
      <c r="F27" s="132" t="s">
        <v>1238</v>
      </c>
      <c r="G27" s="51">
        <v>3</v>
      </c>
      <c r="H27" s="51"/>
      <c r="I27" s="512"/>
      <c r="J27" s="139"/>
      <c r="K27" s="137"/>
      <c r="L27" s="132"/>
      <c r="M27" s="51">
        <v>3</v>
      </c>
      <c r="N27" s="51"/>
      <c r="O27" s="512"/>
      <c r="P27" s="139"/>
      <c r="Q27" s="137"/>
      <c r="R27" s="132"/>
      <c r="S27" s="51">
        <v>3</v>
      </c>
      <c r="T27" s="51"/>
      <c r="U27" s="512"/>
      <c r="V27" s="139"/>
      <c r="W27" s="137"/>
      <c r="X27" s="132"/>
      <c r="Y27" s="51">
        <v>3</v>
      </c>
      <c r="Z27" s="51"/>
      <c r="AA27" s="512"/>
      <c r="AB27" s="176"/>
      <c r="AC27" s="515"/>
      <c r="AD27" s="132"/>
      <c r="AE27" s="516"/>
    </row>
    <row r="28" spans="1:31" ht="16.2" customHeight="1" thickBot="1">
      <c r="A28" s="51">
        <v>3</v>
      </c>
      <c r="B28" s="51"/>
      <c r="C28" s="520"/>
      <c r="D28" s="208"/>
      <c r="E28" s="138"/>
      <c r="F28" s="133"/>
      <c r="G28" s="51">
        <v>3</v>
      </c>
      <c r="H28" s="51"/>
      <c r="I28" s="520"/>
      <c r="J28" s="208"/>
      <c r="K28" s="138"/>
      <c r="L28" s="133"/>
      <c r="M28" s="51">
        <v>3</v>
      </c>
      <c r="N28" s="51"/>
      <c r="O28" s="520"/>
      <c r="P28" s="208"/>
      <c r="Q28" s="138"/>
      <c r="R28" s="133"/>
      <c r="S28" s="51">
        <v>3</v>
      </c>
      <c r="T28" s="51"/>
      <c r="U28" s="520"/>
      <c r="V28" s="208"/>
      <c r="W28" s="138"/>
      <c r="X28" s="133"/>
      <c r="Y28" s="51">
        <v>3</v>
      </c>
      <c r="Z28" s="51"/>
      <c r="AA28" s="520"/>
      <c r="AB28" s="167"/>
      <c r="AC28" s="519"/>
      <c r="AD28" s="133"/>
      <c r="AE28" s="516"/>
    </row>
    <row r="29" spans="1:31" ht="16.2" customHeight="1" thickTop="1">
      <c r="A29" s="51">
        <v>4</v>
      </c>
      <c r="B29" s="51"/>
      <c r="C29" s="523" t="s">
        <v>271</v>
      </c>
      <c r="D29" s="535">
        <f>SUM(D22:D28)</f>
        <v>3150</v>
      </c>
      <c r="E29" s="28"/>
      <c r="F29" s="75">
        <f>SUM(F22:F28)</f>
        <v>0</v>
      </c>
      <c r="G29" s="51">
        <v>4</v>
      </c>
      <c r="H29" s="51"/>
      <c r="I29" s="523" t="s">
        <v>271</v>
      </c>
      <c r="J29" s="535">
        <f xml:space="preserve"> SUM(J22:J28)</f>
        <v>10400</v>
      </c>
      <c r="K29" s="28"/>
      <c r="L29" s="75">
        <f>SUM(L22:L28)</f>
        <v>0</v>
      </c>
      <c r="M29" s="51">
        <v>4</v>
      </c>
      <c r="N29" s="51"/>
      <c r="O29" s="523" t="s">
        <v>271</v>
      </c>
      <c r="P29" s="535">
        <f xml:space="preserve"> SUM(P22:P28)</f>
        <v>4300</v>
      </c>
      <c r="Q29" s="28"/>
      <c r="R29" s="75">
        <f>SUM(R22:R28)</f>
        <v>0</v>
      </c>
      <c r="S29" s="51">
        <v>4</v>
      </c>
      <c r="T29" s="51"/>
      <c r="U29" s="523" t="s">
        <v>271</v>
      </c>
      <c r="V29" s="27">
        <f xml:space="preserve"> SUM(V22:V28)</f>
        <v>3100</v>
      </c>
      <c r="W29" s="28"/>
      <c r="X29" s="75">
        <f>SUM(X22:X28)</f>
        <v>0</v>
      </c>
      <c r="Y29" s="51">
        <v>4</v>
      </c>
      <c r="Z29" s="51"/>
      <c r="AA29" s="523" t="s">
        <v>271</v>
      </c>
      <c r="AB29" s="34">
        <f>SUM(AB22:AB28)</f>
        <v>0</v>
      </c>
      <c r="AC29" s="522"/>
      <c r="AD29" s="732">
        <f>SUM(AD22:AD28)</f>
        <v>0</v>
      </c>
      <c r="AE29" s="524">
        <f>D29+J29+P29+V29+AB29</f>
        <v>20950</v>
      </c>
    </row>
    <row r="30" spans="1:31" ht="16.2" customHeight="1">
      <c r="A30" s="51"/>
      <c r="B30" s="51"/>
      <c r="G30" s="51"/>
      <c r="H30" s="51"/>
      <c r="L30" s="224"/>
      <c r="M30" s="51"/>
      <c r="N30" s="51"/>
      <c r="O30" s="489"/>
      <c r="P30" s="489"/>
      <c r="Q30" s="217"/>
      <c r="R30" s="489"/>
      <c r="S30" s="51"/>
      <c r="T30" s="51"/>
      <c r="U30" s="489"/>
      <c r="V30" s="489"/>
      <c r="W30" s="217"/>
      <c r="X30" s="489"/>
      <c r="Y30" s="51"/>
      <c r="Z30" s="51"/>
      <c r="AA30" s="489"/>
      <c r="AB30" s="217"/>
      <c r="AC30" s="489"/>
      <c r="AD30" s="527" t="s">
        <v>412</v>
      </c>
      <c r="AE30" s="93">
        <f>A大阪市生野区折込部数+M大阪市生野区折込部数+S大阪市生野区折込部数+Y大阪市生野区折込部数+AD29</f>
        <v>0</v>
      </c>
    </row>
    <row r="31" spans="1:31" ht="16.2" customHeight="1">
      <c r="A31" s="51">
        <v>2</v>
      </c>
      <c r="B31" s="488" t="s">
        <v>1402</v>
      </c>
      <c r="C31" s="46" t="s">
        <v>987</v>
      </c>
      <c r="D31" s="12"/>
      <c r="E31" s="19"/>
      <c r="F31" s="16"/>
      <c r="G31" s="51">
        <v>2</v>
      </c>
      <c r="H31" s="488" t="s">
        <v>1402</v>
      </c>
      <c r="I31" s="11"/>
      <c r="J31" s="12"/>
      <c r="K31" s="19"/>
      <c r="L31" s="16"/>
      <c r="M31" s="51">
        <v>2</v>
      </c>
      <c r="N31" s="488" t="s">
        <v>1402</v>
      </c>
      <c r="O31" s="11"/>
      <c r="P31" s="12"/>
      <c r="Q31" s="19"/>
      <c r="R31" s="16"/>
      <c r="S31" s="51">
        <v>2</v>
      </c>
      <c r="T31" s="488" t="s">
        <v>1402</v>
      </c>
      <c r="U31" s="508"/>
      <c r="V31" s="12"/>
      <c r="W31" s="19"/>
      <c r="X31" s="16"/>
      <c r="Y31" s="51">
        <v>2</v>
      </c>
      <c r="Z31" s="488" t="s">
        <v>1402</v>
      </c>
      <c r="AA31" s="11"/>
      <c r="AB31" s="12"/>
      <c r="AC31" s="11"/>
      <c r="AD31" s="11"/>
    </row>
    <row r="32" spans="1:31" ht="15.75" customHeight="1">
      <c r="A32" s="51">
        <v>3</v>
      </c>
      <c r="B32" s="51">
        <v>72077</v>
      </c>
      <c r="C32" s="441" t="s">
        <v>1023</v>
      </c>
      <c r="D32" s="148">
        <v>850</v>
      </c>
      <c r="E32" s="136"/>
      <c r="F32" s="404"/>
      <c r="G32" s="51">
        <v>3</v>
      </c>
      <c r="H32" s="51">
        <v>73089</v>
      </c>
      <c r="I32" s="441" t="s">
        <v>1270</v>
      </c>
      <c r="J32" s="148">
        <v>2850</v>
      </c>
      <c r="K32" s="136"/>
      <c r="L32" s="404"/>
      <c r="M32" s="51">
        <v>3</v>
      </c>
      <c r="N32" s="51">
        <v>75099</v>
      </c>
      <c r="O32" s="441" t="s">
        <v>1025</v>
      </c>
      <c r="P32" s="148">
        <v>1300</v>
      </c>
      <c r="Q32" s="136"/>
      <c r="R32" s="404"/>
      <c r="S32" s="51">
        <v>3</v>
      </c>
      <c r="T32" s="51">
        <v>74107</v>
      </c>
      <c r="U32" s="386" t="s">
        <v>1026</v>
      </c>
      <c r="V32" s="148">
        <v>2100</v>
      </c>
      <c r="W32" s="136"/>
      <c r="X32" s="404"/>
      <c r="Y32" s="51">
        <v>3</v>
      </c>
      <c r="Z32" s="51"/>
      <c r="AA32" s="703"/>
      <c r="AB32" s="215"/>
      <c r="AC32" s="511"/>
      <c r="AD32" s="129"/>
      <c r="AE32" s="513"/>
    </row>
    <row r="33" spans="1:31" ht="15.75" customHeight="1">
      <c r="A33" s="51">
        <v>3</v>
      </c>
      <c r="B33" s="51"/>
      <c r="C33" s="512"/>
      <c r="D33" s="139"/>
      <c r="E33" s="137"/>
      <c r="F33" s="132"/>
      <c r="G33" s="51">
        <v>3</v>
      </c>
      <c r="H33" s="51">
        <v>73091</v>
      </c>
      <c r="I33" s="386" t="s">
        <v>1255</v>
      </c>
      <c r="J33" s="143">
        <v>2750</v>
      </c>
      <c r="K33" s="137"/>
      <c r="L33" s="405"/>
      <c r="M33" s="51">
        <v>3</v>
      </c>
      <c r="N33" s="51">
        <v>75101</v>
      </c>
      <c r="O33" s="386" t="s">
        <v>1026</v>
      </c>
      <c r="P33" s="143">
        <v>2200</v>
      </c>
      <c r="Q33" s="137"/>
      <c r="R33" s="405"/>
      <c r="S33" s="51">
        <v>3</v>
      </c>
      <c r="T33" s="51">
        <v>74109</v>
      </c>
      <c r="U33" s="386" t="s">
        <v>1024</v>
      </c>
      <c r="V33" s="446" t="s">
        <v>1618</v>
      </c>
      <c r="W33" s="137"/>
      <c r="X33" s="405"/>
      <c r="Y33" s="51">
        <v>3</v>
      </c>
      <c r="Z33" s="51"/>
      <c r="AA33" s="512"/>
      <c r="AB33" s="139"/>
      <c r="AC33" s="515"/>
      <c r="AD33" s="132"/>
      <c r="AE33" s="516"/>
    </row>
    <row r="34" spans="1:31" ht="15.75" customHeight="1">
      <c r="A34" s="51">
        <v>3</v>
      </c>
      <c r="B34" s="51"/>
      <c r="C34" s="512"/>
      <c r="D34" s="139"/>
      <c r="E34" s="137"/>
      <c r="F34" s="132"/>
      <c r="G34" s="51">
        <v>3</v>
      </c>
      <c r="H34" s="51"/>
      <c r="I34" s="386"/>
      <c r="J34" s="143"/>
      <c r="K34" s="137"/>
      <c r="L34" s="405"/>
      <c r="M34" s="51">
        <v>3</v>
      </c>
      <c r="N34" s="51"/>
      <c r="O34" s="512"/>
      <c r="P34" s="139"/>
      <c r="Q34" s="137"/>
      <c r="R34" s="132"/>
      <c r="S34" s="51">
        <v>3</v>
      </c>
      <c r="T34" s="51"/>
      <c r="U34" s="512"/>
      <c r="V34" s="139"/>
      <c r="W34" s="137"/>
      <c r="X34" s="132"/>
      <c r="Y34" s="51">
        <v>3</v>
      </c>
      <c r="Z34" s="51"/>
      <c r="AA34" s="512"/>
      <c r="AB34" s="139"/>
      <c r="AC34" s="515"/>
      <c r="AD34" s="132"/>
      <c r="AE34" s="516"/>
    </row>
    <row r="35" spans="1:31" ht="15.75" customHeight="1">
      <c r="A35" s="51">
        <v>3</v>
      </c>
      <c r="B35" s="51"/>
      <c r="C35" s="512"/>
      <c r="D35" s="139"/>
      <c r="E35" s="137"/>
      <c r="F35" s="132"/>
      <c r="G35" s="51">
        <v>3</v>
      </c>
      <c r="H35" s="51"/>
      <c r="I35" s="512"/>
      <c r="J35" s="139"/>
      <c r="K35" s="137"/>
      <c r="L35" s="132"/>
      <c r="M35" s="51">
        <v>3</v>
      </c>
      <c r="N35" s="51"/>
      <c r="O35" s="512"/>
      <c r="P35" s="139"/>
      <c r="Q35" s="137"/>
      <c r="R35" s="132"/>
      <c r="S35" s="51">
        <v>3</v>
      </c>
      <c r="T35" s="51"/>
      <c r="U35" s="512"/>
      <c r="V35" s="139"/>
      <c r="W35" s="137"/>
      <c r="X35" s="132"/>
      <c r="Y35" s="51">
        <v>3</v>
      </c>
      <c r="Z35" s="51"/>
      <c r="AA35" s="512"/>
      <c r="AB35" s="139"/>
      <c r="AC35" s="515"/>
      <c r="AD35" s="132"/>
      <c r="AE35" s="516"/>
    </row>
    <row r="36" spans="1:31" ht="15.75" customHeight="1" thickBot="1">
      <c r="A36" s="51">
        <v>3</v>
      </c>
      <c r="B36" s="51"/>
      <c r="C36" s="520"/>
      <c r="D36" s="208"/>
      <c r="E36" s="138"/>
      <c r="F36" s="133"/>
      <c r="G36" s="51">
        <v>3</v>
      </c>
      <c r="H36" s="51"/>
      <c r="I36" s="520"/>
      <c r="J36" s="208"/>
      <c r="K36" s="138"/>
      <c r="L36" s="133"/>
      <c r="M36" s="51">
        <v>3</v>
      </c>
      <c r="N36" s="51"/>
      <c r="O36" s="520"/>
      <c r="P36" s="208"/>
      <c r="Q36" s="138"/>
      <c r="R36" s="133"/>
      <c r="S36" s="51">
        <v>3</v>
      </c>
      <c r="T36" s="51"/>
      <c r="U36" s="520"/>
      <c r="V36" s="208"/>
      <c r="W36" s="138"/>
      <c r="X36" s="133"/>
      <c r="Y36" s="51">
        <v>3</v>
      </c>
      <c r="Z36" s="51"/>
      <c r="AA36" s="701"/>
      <c r="AB36" s="208"/>
      <c r="AC36" s="519"/>
      <c r="AD36" s="133"/>
      <c r="AE36" s="516"/>
    </row>
    <row r="37" spans="1:31" ht="16.5" customHeight="1" thickTop="1">
      <c r="A37" s="51">
        <v>4</v>
      </c>
      <c r="B37" s="51"/>
      <c r="C37" s="523" t="s">
        <v>271</v>
      </c>
      <c r="D37" s="535">
        <f xml:space="preserve"> SUM(D32:D36)</f>
        <v>850</v>
      </c>
      <c r="E37" s="28"/>
      <c r="F37" s="75">
        <f>SUM(F32:F36)</f>
        <v>0</v>
      </c>
      <c r="G37" s="51">
        <v>4</v>
      </c>
      <c r="H37" s="51"/>
      <c r="I37" s="523" t="s">
        <v>271</v>
      </c>
      <c r="J37" s="535">
        <f xml:space="preserve"> SUM(J32:J36)</f>
        <v>5600</v>
      </c>
      <c r="K37" s="28"/>
      <c r="L37" s="75">
        <f>SUM(L32:L36)</f>
        <v>0</v>
      </c>
      <c r="M37" s="51">
        <v>4</v>
      </c>
      <c r="N37" s="51"/>
      <c r="O37" s="523" t="s">
        <v>271</v>
      </c>
      <c r="P37" s="535">
        <f xml:space="preserve"> SUM(P32:P36)</f>
        <v>3500</v>
      </c>
      <c r="Q37" s="28"/>
      <c r="R37" s="75">
        <f>SUM(R32:R36)</f>
        <v>0</v>
      </c>
      <c r="S37" s="51">
        <v>4</v>
      </c>
      <c r="T37" s="51"/>
      <c r="U37" s="523" t="s">
        <v>271</v>
      </c>
      <c r="V37" s="27">
        <f xml:space="preserve"> SUM(V32:V36)</f>
        <v>2100</v>
      </c>
      <c r="W37" s="28"/>
      <c r="X37" s="75">
        <f>SUM(X32:X36)</f>
        <v>0</v>
      </c>
      <c r="Y37" s="51">
        <v>4</v>
      </c>
      <c r="Z37" s="51"/>
      <c r="AA37" s="523" t="s">
        <v>271</v>
      </c>
      <c r="AB37" s="27">
        <f>SUM(AB32:AB36)</f>
        <v>0</v>
      </c>
      <c r="AC37" s="522"/>
      <c r="AD37" s="75">
        <f>SUM(AD32:AD36)</f>
        <v>0</v>
      </c>
      <c r="AE37" s="524">
        <f>D37+J37+P37+V37+AB37</f>
        <v>12050</v>
      </c>
    </row>
    <row r="38" spans="1:31" ht="15.75" customHeight="1">
      <c r="A38" s="51">
        <v>9</v>
      </c>
      <c r="B38" s="51"/>
      <c r="G38" s="51">
        <v>9</v>
      </c>
      <c r="H38" s="51"/>
      <c r="L38" s="224"/>
      <c r="M38" s="51">
        <v>9</v>
      </c>
      <c r="N38" s="51"/>
      <c r="O38" s="489"/>
      <c r="P38" s="489"/>
      <c r="Q38" s="217"/>
      <c r="R38" s="224"/>
      <c r="S38" s="51">
        <v>9</v>
      </c>
      <c r="T38" s="51"/>
      <c r="U38" s="537"/>
      <c r="V38" s="489"/>
      <c r="W38" s="217"/>
      <c r="X38" s="224"/>
      <c r="Y38" s="51">
        <v>9</v>
      </c>
      <c r="Z38" s="51"/>
      <c r="AA38" s="489"/>
      <c r="AB38" s="489"/>
      <c r="AD38" s="527" t="s">
        <v>412</v>
      </c>
      <c r="AE38" s="93">
        <f>A大阪市東成区折込部数+M大阪市東成区折込部数+S大阪市東成区折込部数+Y大阪市東成区折込部数+AD37</f>
        <v>0</v>
      </c>
    </row>
    <row r="39" spans="1:31">
      <c r="C39" s="489"/>
      <c r="D39" s="489"/>
      <c r="E39" s="217"/>
      <c r="F39" s="224"/>
      <c r="G39" s="224"/>
      <c r="H39" s="224"/>
      <c r="I39" s="489"/>
      <c r="J39" s="489"/>
      <c r="K39" s="217"/>
      <c r="L39" s="224"/>
      <c r="M39" s="224"/>
      <c r="N39" s="224"/>
      <c r="O39" s="489"/>
      <c r="P39" s="489"/>
      <c r="Q39" s="217"/>
      <c r="R39" s="489"/>
      <c r="S39" s="489"/>
      <c r="T39" s="489"/>
      <c r="U39" s="489"/>
      <c r="V39" s="489"/>
      <c r="W39" s="217"/>
      <c r="X39" s="489"/>
      <c r="Y39" s="489"/>
      <c r="Z39" s="489"/>
      <c r="AA39" s="489"/>
      <c r="AB39" s="217"/>
      <c r="AC39" s="489"/>
      <c r="AD39" s="489"/>
      <c r="AE39" s="489"/>
    </row>
    <row r="40" spans="1:31">
      <c r="C40" s="489"/>
      <c r="D40" s="489"/>
      <c r="E40" s="217"/>
      <c r="F40" s="224"/>
      <c r="G40" s="224"/>
      <c r="H40" s="224"/>
      <c r="I40" s="489"/>
      <c r="J40" s="489"/>
      <c r="K40" s="217"/>
      <c r="L40" s="224"/>
      <c r="M40" s="224"/>
      <c r="N40" s="224"/>
      <c r="O40" s="489"/>
      <c r="P40" s="489"/>
      <c r="Q40" s="217"/>
      <c r="R40" s="489"/>
      <c r="S40" s="489"/>
      <c r="T40" s="489"/>
      <c r="U40" s="489"/>
      <c r="V40" s="489"/>
      <c r="W40" s="217"/>
      <c r="X40" s="489"/>
      <c r="Y40" s="489"/>
      <c r="Z40" s="489"/>
      <c r="AA40" s="489"/>
      <c r="AB40" s="217"/>
      <c r="AC40" s="489"/>
      <c r="AD40" s="489"/>
      <c r="AE40" s="489"/>
    </row>
    <row r="41" spans="1:31">
      <c r="C41" s="489"/>
      <c r="D41" s="489"/>
      <c r="E41" s="217"/>
      <c r="F41" s="224"/>
      <c r="G41" s="224"/>
      <c r="H41" s="224"/>
      <c r="I41" s="489"/>
      <c r="J41" s="489"/>
      <c r="K41" s="217"/>
      <c r="L41" s="224"/>
      <c r="M41" s="224"/>
      <c r="N41" s="224"/>
      <c r="O41" s="489"/>
      <c r="P41" s="489"/>
      <c r="Q41" s="217"/>
      <c r="R41" s="489"/>
      <c r="S41" s="489"/>
      <c r="T41" s="489"/>
      <c r="U41" s="489"/>
      <c r="V41" s="489"/>
      <c r="W41" s="217"/>
      <c r="X41" s="489"/>
      <c r="Y41" s="489"/>
      <c r="Z41" s="489"/>
      <c r="AA41" s="489"/>
      <c r="AB41" s="217"/>
      <c r="AC41" s="489"/>
      <c r="AD41" s="489"/>
      <c r="AE41" s="489"/>
    </row>
    <row r="42" spans="1:31">
      <c r="C42" s="489"/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17"/>
      <c r="R42" s="489"/>
      <c r="S42" s="489"/>
      <c r="T42" s="489"/>
      <c r="U42" s="489"/>
      <c r="V42" s="489"/>
      <c r="W42" s="217"/>
      <c r="X42" s="489"/>
      <c r="Y42" s="489"/>
      <c r="Z42" s="489"/>
      <c r="AA42" s="489"/>
      <c r="AB42" s="217"/>
      <c r="AC42" s="489"/>
      <c r="AD42" s="489"/>
      <c r="AE42" s="489"/>
    </row>
    <row r="43" spans="1:3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17"/>
      <c r="R43" s="489"/>
      <c r="S43" s="489"/>
      <c r="T43" s="489"/>
      <c r="U43" s="489"/>
      <c r="V43" s="489"/>
      <c r="W43" s="217"/>
      <c r="X43" s="489"/>
      <c r="Y43" s="489"/>
      <c r="Z43" s="489"/>
      <c r="AA43" s="489"/>
      <c r="AB43" s="217"/>
      <c r="AC43" s="489"/>
      <c r="AD43" s="489"/>
      <c r="AE43" s="489"/>
    </row>
    <row r="44" spans="1:3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17"/>
      <c r="R44" s="489"/>
      <c r="S44" s="489"/>
      <c r="T44" s="489"/>
      <c r="U44" s="489"/>
      <c r="V44" s="489"/>
      <c r="W44" s="217"/>
      <c r="X44" s="489"/>
      <c r="Y44" s="489"/>
      <c r="Z44" s="489"/>
      <c r="AA44" s="489"/>
      <c r="AB44" s="217"/>
      <c r="AC44" s="489"/>
      <c r="AD44" s="489"/>
      <c r="AE44" s="489"/>
    </row>
    <row r="45" spans="1:3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17"/>
      <c r="R45" s="489"/>
      <c r="S45" s="489"/>
      <c r="T45" s="489"/>
      <c r="U45" s="489"/>
      <c r="V45" s="489"/>
      <c r="W45" s="217"/>
      <c r="X45" s="489"/>
      <c r="Y45" s="489"/>
      <c r="Z45" s="489"/>
      <c r="AA45" s="489"/>
      <c r="AB45" s="217"/>
      <c r="AC45" s="489"/>
      <c r="AD45" s="489"/>
      <c r="AE45" s="489"/>
    </row>
    <row r="46" spans="1:3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17"/>
      <c r="R46" s="489"/>
      <c r="S46" s="489"/>
      <c r="T46" s="489"/>
      <c r="U46" s="489"/>
      <c r="V46" s="489"/>
      <c r="W46" s="217"/>
      <c r="X46" s="489"/>
      <c r="Y46" s="489"/>
      <c r="Z46" s="489"/>
      <c r="AA46" s="489"/>
      <c r="AB46" s="217"/>
      <c r="AC46" s="489"/>
      <c r="AD46" s="489"/>
      <c r="AE46" s="489"/>
    </row>
    <row r="47" spans="1:3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17"/>
      <c r="R47" s="489"/>
      <c r="S47" s="489"/>
      <c r="T47" s="489"/>
      <c r="U47" s="489"/>
      <c r="V47" s="489"/>
      <c r="W47" s="217"/>
      <c r="X47" s="489"/>
      <c r="Y47" s="489"/>
      <c r="Z47" s="489"/>
      <c r="AA47" s="489"/>
      <c r="AB47" s="217"/>
      <c r="AC47" s="489"/>
      <c r="AD47" s="489"/>
      <c r="AE47" s="489"/>
    </row>
    <row r="48" spans="1:3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17"/>
      <c r="R48" s="489"/>
      <c r="S48" s="489"/>
      <c r="T48" s="489"/>
      <c r="U48" s="489"/>
      <c r="V48" s="489"/>
      <c r="W48" s="217"/>
      <c r="X48" s="489"/>
      <c r="Y48" s="489"/>
      <c r="Z48" s="489"/>
      <c r="AA48" s="489"/>
      <c r="AB48" s="217"/>
      <c r="AC48" s="489"/>
      <c r="AD48" s="489"/>
      <c r="AE48" s="489"/>
    </row>
    <row r="49" spans="3:3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17"/>
      <c r="R49" s="489"/>
      <c r="S49" s="489"/>
      <c r="T49" s="489"/>
      <c r="U49" s="489"/>
      <c r="V49" s="489"/>
      <c r="W49" s="217"/>
      <c r="X49" s="489"/>
      <c r="Y49" s="489"/>
      <c r="Z49" s="489"/>
      <c r="AA49" s="489"/>
      <c r="AB49" s="217"/>
      <c r="AC49" s="489"/>
      <c r="AD49" s="489"/>
      <c r="AE49" s="489"/>
    </row>
    <row r="50" spans="3:3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17"/>
      <c r="R50" s="489"/>
      <c r="S50" s="489"/>
      <c r="T50" s="489"/>
      <c r="U50" s="489"/>
      <c r="V50" s="489"/>
      <c r="W50" s="217"/>
      <c r="X50" s="489"/>
      <c r="Y50" s="489"/>
      <c r="Z50" s="489"/>
      <c r="AA50" s="489"/>
      <c r="AB50" s="217"/>
      <c r="AC50" s="489"/>
      <c r="AD50" s="489"/>
      <c r="AE50" s="489"/>
    </row>
    <row r="51" spans="3:3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17"/>
      <c r="R51" s="489"/>
      <c r="S51" s="489"/>
      <c r="T51" s="489"/>
      <c r="U51" s="489"/>
      <c r="V51" s="489"/>
      <c r="W51" s="217"/>
      <c r="X51" s="489"/>
      <c r="Y51" s="489"/>
      <c r="Z51" s="489"/>
      <c r="AA51" s="489"/>
      <c r="AB51" s="217"/>
      <c r="AC51" s="489"/>
      <c r="AD51" s="489"/>
      <c r="AE51" s="489"/>
    </row>
    <row r="52" spans="3:3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17"/>
      <c r="R52" s="489"/>
      <c r="S52" s="489"/>
      <c r="T52" s="489"/>
      <c r="U52" s="489"/>
      <c r="V52" s="489"/>
      <c r="W52" s="217"/>
      <c r="X52" s="489"/>
      <c r="Y52" s="489"/>
      <c r="Z52" s="489"/>
      <c r="AA52" s="489"/>
      <c r="AB52" s="217"/>
      <c r="AC52" s="489"/>
      <c r="AD52" s="489"/>
      <c r="AE52" s="489"/>
    </row>
    <row r="53" spans="3:3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17"/>
      <c r="R53" s="489"/>
      <c r="S53" s="489"/>
      <c r="T53" s="489"/>
      <c r="U53" s="489"/>
      <c r="V53" s="489"/>
      <c r="W53" s="217"/>
      <c r="X53" s="489"/>
      <c r="Y53" s="489"/>
      <c r="Z53" s="489"/>
      <c r="AA53" s="489"/>
      <c r="AB53" s="217"/>
      <c r="AC53" s="489"/>
      <c r="AD53" s="489"/>
      <c r="AE53" s="489"/>
    </row>
    <row r="54" spans="3:3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17"/>
      <c r="R54" s="489"/>
      <c r="S54" s="489"/>
      <c r="T54" s="489"/>
      <c r="U54" s="489"/>
      <c r="V54" s="489"/>
      <c r="W54" s="217"/>
      <c r="X54" s="489"/>
      <c r="Y54" s="489"/>
      <c r="Z54" s="489"/>
      <c r="AA54" s="489"/>
      <c r="AB54" s="217"/>
      <c r="AC54" s="489"/>
      <c r="AD54" s="489"/>
      <c r="AE54" s="489"/>
    </row>
    <row r="55" spans="3:3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17"/>
      <c r="R55" s="489"/>
      <c r="S55" s="489"/>
      <c r="T55" s="489"/>
      <c r="U55" s="489"/>
      <c r="V55" s="489"/>
      <c r="W55" s="217"/>
      <c r="X55" s="489"/>
      <c r="Y55" s="489"/>
      <c r="Z55" s="489"/>
      <c r="AA55" s="489"/>
      <c r="AB55" s="217"/>
      <c r="AC55" s="489"/>
      <c r="AD55" s="489"/>
      <c r="AE55" s="489"/>
    </row>
    <row r="56" spans="3:3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17"/>
      <c r="R56" s="489"/>
      <c r="S56" s="489"/>
      <c r="T56" s="489"/>
      <c r="U56" s="489"/>
      <c r="V56" s="489"/>
      <c r="W56" s="217"/>
      <c r="X56" s="489"/>
      <c r="Y56" s="489"/>
      <c r="Z56" s="489"/>
      <c r="AA56" s="489"/>
      <c r="AB56" s="217"/>
      <c r="AC56" s="489"/>
      <c r="AD56" s="489"/>
      <c r="AE56" s="489"/>
    </row>
    <row r="57" spans="3:3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17"/>
      <c r="R57" s="489"/>
      <c r="S57" s="489"/>
      <c r="T57" s="489"/>
      <c r="U57" s="489"/>
      <c r="V57" s="489"/>
      <c r="W57" s="217"/>
      <c r="X57" s="489"/>
      <c r="Y57" s="489"/>
      <c r="Z57" s="489"/>
      <c r="AA57" s="489"/>
      <c r="AB57" s="217"/>
      <c r="AC57" s="489"/>
      <c r="AD57" s="489"/>
      <c r="AE57" s="489"/>
    </row>
    <row r="58" spans="3:3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17"/>
      <c r="R58" s="489"/>
      <c r="S58" s="489"/>
      <c r="T58" s="489"/>
      <c r="U58" s="489"/>
      <c r="V58" s="489"/>
      <c r="W58" s="217"/>
      <c r="X58" s="489"/>
      <c r="Y58" s="489"/>
      <c r="Z58" s="489"/>
      <c r="AA58" s="489"/>
      <c r="AB58" s="217"/>
      <c r="AC58" s="489"/>
      <c r="AD58" s="489"/>
      <c r="AE58" s="489"/>
    </row>
    <row r="59" spans="3:3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17"/>
      <c r="R59" s="489"/>
      <c r="S59" s="489"/>
      <c r="T59" s="489"/>
      <c r="U59" s="489"/>
      <c r="V59" s="489"/>
      <c r="W59" s="217"/>
      <c r="X59" s="489"/>
      <c r="Y59" s="489"/>
      <c r="Z59" s="489"/>
      <c r="AA59" s="489"/>
      <c r="AB59" s="217"/>
      <c r="AC59" s="489"/>
      <c r="AD59" s="489"/>
      <c r="AE59" s="489"/>
    </row>
    <row r="60" spans="3:3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17"/>
      <c r="R60" s="489"/>
      <c r="S60" s="489"/>
      <c r="T60" s="489"/>
      <c r="U60" s="489"/>
      <c r="V60" s="489"/>
      <c r="W60" s="217"/>
      <c r="X60" s="489"/>
      <c r="Y60" s="489"/>
      <c r="Z60" s="489"/>
      <c r="AA60" s="489"/>
      <c r="AB60" s="217"/>
      <c r="AC60" s="489"/>
      <c r="AD60" s="489"/>
      <c r="AE60" s="489"/>
    </row>
    <row r="61" spans="3:3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17"/>
      <c r="R61" s="489"/>
      <c r="S61" s="489"/>
      <c r="T61" s="489"/>
      <c r="U61" s="489"/>
      <c r="V61" s="489"/>
      <c r="W61" s="217"/>
      <c r="X61" s="489"/>
      <c r="Y61" s="489"/>
      <c r="Z61" s="489"/>
      <c r="AA61" s="489"/>
      <c r="AB61" s="217"/>
      <c r="AC61" s="489"/>
      <c r="AD61" s="489"/>
      <c r="AE61" s="489"/>
    </row>
    <row r="62" spans="3:3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17"/>
      <c r="R62" s="489"/>
      <c r="S62" s="489"/>
      <c r="T62" s="489"/>
      <c r="U62" s="489"/>
      <c r="V62" s="489"/>
      <c r="W62" s="217"/>
      <c r="X62" s="489"/>
      <c r="Y62" s="489"/>
      <c r="Z62" s="489"/>
      <c r="AA62" s="489"/>
      <c r="AB62" s="217"/>
      <c r="AC62" s="489"/>
      <c r="AD62" s="489"/>
      <c r="AE62" s="489"/>
    </row>
    <row r="63" spans="3:3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17"/>
      <c r="R63" s="489"/>
      <c r="S63" s="489"/>
      <c r="T63" s="489"/>
      <c r="U63" s="489"/>
      <c r="V63" s="489"/>
      <c r="W63" s="217"/>
      <c r="X63" s="489"/>
      <c r="Y63" s="489"/>
      <c r="Z63" s="489"/>
      <c r="AA63" s="489"/>
      <c r="AB63" s="217"/>
      <c r="AC63" s="489"/>
      <c r="AD63" s="489"/>
      <c r="AE63" s="489"/>
    </row>
    <row r="64" spans="3:3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17"/>
      <c r="R64" s="489"/>
      <c r="S64" s="489"/>
      <c r="T64" s="489"/>
      <c r="U64" s="489"/>
      <c r="V64" s="489"/>
      <c r="W64" s="217"/>
      <c r="X64" s="489"/>
      <c r="Y64" s="489"/>
      <c r="Z64" s="489"/>
      <c r="AA64" s="489"/>
      <c r="AB64" s="217"/>
      <c r="AC64" s="489"/>
      <c r="AD64" s="489"/>
      <c r="AE64" s="489"/>
    </row>
    <row r="65" spans="3:3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17"/>
      <c r="R65" s="489"/>
      <c r="S65" s="489"/>
      <c r="T65" s="489"/>
      <c r="U65" s="489"/>
      <c r="V65" s="489"/>
      <c r="W65" s="217"/>
      <c r="X65" s="489"/>
      <c r="Y65" s="489"/>
      <c r="Z65" s="489"/>
      <c r="AA65" s="489"/>
      <c r="AB65" s="217"/>
      <c r="AC65" s="489"/>
      <c r="AD65" s="489"/>
      <c r="AE65" s="489"/>
    </row>
    <row r="66" spans="3:31">
      <c r="C66" s="489"/>
      <c r="D66" s="489"/>
      <c r="E66" s="217"/>
      <c r="F66" s="224"/>
      <c r="G66" s="224"/>
      <c r="H66" s="224"/>
      <c r="I66" s="489"/>
      <c r="J66" s="489"/>
      <c r="K66" s="217"/>
      <c r="L66" s="224"/>
      <c r="M66" s="224"/>
      <c r="N66" s="224"/>
      <c r="O66" s="489"/>
      <c r="P66" s="489"/>
      <c r="Q66" s="217"/>
      <c r="R66" s="489"/>
      <c r="S66" s="489"/>
      <c r="T66" s="489"/>
      <c r="U66" s="489"/>
      <c r="V66" s="489"/>
      <c r="W66" s="217"/>
      <c r="X66" s="489"/>
      <c r="Y66" s="489"/>
      <c r="Z66" s="489"/>
      <c r="AA66" s="489"/>
      <c r="AB66" s="217"/>
      <c r="AC66" s="489"/>
      <c r="AD66" s="489"/>
      <c r="AE66" s="489"/>
    </row>
    <row r="67" spans="3:31">
      <c r="C67" s="489"/>
      <c r="D67" s="489"/>
      <c r="E67" s="217"/>
      <c r="F67" s="224"/>
      <c r="G67" s="224"/>
      <c r="H67" s="224"/>
      <c r="I67" s="489"/>
      <c r="J67" s="489"/>
      <c r="K67" s="217"/>
      <c r="L67" s="224"/>
      <c r="M67" s="224"/>
      <c r="N67" s="224"/>
      <c r="O67" s="489"/>
      <c r="P67" s="489"/>
      <c r="Q67" s="217"/>
      <c r="R67" s="489"/>
      <c r="S67" s="489"/>
      <c r="T67" s="489"/>
      <c r="U67" s="489"/>
      <c r="V67" s="489"/>
      <c r="W67" s="217"/>
      <c r="X67" s="489"/>
      <c r="Y67" s="489"/>
      <c r="Z67" s="489"/>
      <c r="AA67" s="489"/>
      <c r="AB67" s="217"/>
      <c r="AC67" s="489"/>
      <c r="AD67" s="489"/>
      <c r="AE67" s="489"/>
    </row>
    <row r="68" spans="3:31">
      <c r="C68" s="489"/>
      <c r="D68" s="489"/>
      <c r="E68" s="217"/>
      <c r="F68" s="224"/>
      <c r="G68" s="224"/>
      <c r="H68" s="224"/>
      <c r="I68" s="489"/>
      <c r="J68" s="489"/>
      <c r="K68" s="217"/>
      <c r="L68" s="224"/>
      <c r="M68" s="224"/>
      <c r="N68" s="224"/>
      <c r="O68" s="489"/>
      <c r="P68" s="489"/>
      <c r="Q68" s="217"/>
      <c r="R68" s="489"/>
      <c r="S68" s="489"/>
      <c r="T68" s="489"/>
      <c r="U68" s="489"/>
      <c r="V68" s="489"/>
      <c r="W68" s="217"/>
      <c r="X68" s="489"/>
      <c r="Y68" s="489"/>
      <c r="Z68" s="489"/>
      <c r="AA68" s="489"/>
      <c r="AB68" s="217"/>
      <c r="AC68" s="489"/>
      <c r="AD68" s="489"/>
      <c r="AE68" s="489"/>
    </row>
    <row r="69" spans="3:31">
      <c r="C69" s="489"/>
      <c r="D69" s="489"/>
      <c r="E69" s="217"/>
      <c r="F69" s="224"/>
      <c r="G69" s="224"/>
      <c r="H69" s="224"/>
      <c r="I69" s="489"/>
      <c r="J69" s="489"/>
      <c r="K69" s="217"/>
      <c r="L69" s="224"/>
      <c r="M69" s="224"/>
      <c r="N69" s="224"/>
      <c r="O69" s="489"/>
      <c r="P69" s="489"/>
      <c r="Q69" s="217"/>
      <c r="R69" s="489"/>
      <c r="S69" s="489"/>
      <c r="T69" s="489"/>
      <c r="U69" s="489"/>
      <c r="V69" s="489"/>
      <c r="W69" s="217"/>
      <c r="X69" s="489"/>
      <c r="Y69" s="489"/>
      <c r="Z69" s="489"/>
      <c r="AA69" s="489"/>
      <c r="AB69" s="217"/>
      <c r="AC69" s="489"/>
      <c r="AD69" s="489"/>
      <c r="AE69" s="489"/>
    </row>
    <row r="70" spans="3:31">
      <c r="C70" s="489"/>
      <c r="D70" s="489"/>
      <c r="E70" s="217"/>
      <c r="F70" s="224"/>
      <c r="G70" s="224"/>
      <c r="H70" s="224"/>
      <c r="I70" s="489"/>
      <c r="J70" s="489"/>
      <c r="K70" s="217"/>
      <c r="L70" s="224"/>
      <c r="M70" s="224"/>
      <c r="N70" s="224"/>
      <c r="O70" s="489"/>
      <c r="P70" s="489"/>
      <c r="Q70" s="217"/>
      <c r="R70" s="489"/>
      <c r="S70" s="489"/>
      <c r="T70" s="489"/>
      <c r="U70" s="489"/>
      <c r="V70" s="489"/>
      <c r="W70" s="217"/>
      <c r="X70" s="489"/>
      <c r="Y70" s="489"/>
      <c r="Z70" s="489"/>
      <c r="AA70" s="489"/>
      <c r="AB70" s="217"/>
      <c r="AC70" s="489"/>
      <c r="AD70" s="489"/>
      <c r="AE70" s="489"/>
    </row>
    <row r="71" spans="3:31">
      <c r="C71" s="489"/>
      <c r="D71" s="489"/>
      <c r="E71" s="217"/>
      <c r="F71" s="224"/>
      <c r="G71" s="224"/>
      <c r="H71" s="224"/>
      <c r="I71" s="489"/>
      <c r="J71" s="489"/>
      <c r="K71" s="217"/>
      <c r="L71" s="224"/>
      <c r="M71" s="224"/>
      <c r="N71" s="224"/>
      <c r="O71" s="489"/>
      <c r="P71" s="489"/>
      <c r="Q71" s="217"/>
      <c r="R71" s="489"/>
      <c r="S71" s="489"/>
      <c r="T71" s="489"/>
      <c r="U71" s="489"/>
      <c r="V71" s="489"/>
      <c r="W71" s="217"/>
      <c r="X71" s="489"/>
      <c r="Y71" s="489"/>
      <c r="Z71" s="489"/>
      <c r="AA71" s="489"/>
      <c r="AB71" s="217"/>
      <c r="AC71" s="489"/>
      <c r="AD71" s="489"/>
      <c r="AE71" s="489"/>
    </row>
    <row r="72" spans="3:31">
      <c r="C72" s="489"/>
      <c r="D72" s="489"/>
      <c r="E72" s="217"/>
      <c r="F72" s="224"/>
      <c r="G72" s="224"/>
      <c r="H72" s="224"/>
      <c r="I72" s="489"/>
      <c r="J72" s="489"/>
      <c r="K72" s="217"/>
      <c r="L72" s="224"/>
      <c r="M72" s="224"/>
      <c r="N72" s="224"/>
      <c r="O72" s="489"/>
      <c r="P72" s="489"/>
      <c r="Q72" s="217"/>
      <c r="R72" s="489"/>
      <c r="S72" s="489"/>
      <c r="T72" s="489"/>
      <c r="U72" s="489"/>
      <c r="V72" s="489"/>
      <c r="W72" s="217"/>
      <c r="X72" s="489"/>
      <c r="Y72" s="489"/>
      <c r="Z72" s="489"/>
      <c r="AA72" s="489"/>
      <c r="AB72" s="217"/>
      <c r="AC72" s="489"/>
      <c r="AD72" s="489"/>
      <c r="AE72" s="489"/>
    </row>
    <row r="73" spans="3:31">
      <c r="C73" s="489"/>
      <c r="D73" s="489"/>
      <c r="E73" s="217"/>
      <c r="F73" s="224"/>
      <c r="G73" s="224"/>
      <c r="H73" s="224"/>
      <c r="I73" s="489"/>
      <c r="J73" s="489"/>
      <c r="K73" s="217"/>
      <c r="L73" s="224"/>
      <c r="M73" s="224"/>
      <c r="N73" s="224"/>
      <c r="O73" s="489"/>
      <c r="P73" s="489"/>
      <c r="Q73" s="217"/>
      <c r="R73" s="489"/>
      <c r="S73" s="489"/>
      <c r="T73" s="489"/>
      <c r="U73" s="489"/>
      <c r="V73" s="489"/>
      <c r="W73" s="217"/>
      <c r="X73" s="489"/>
      <c r="Y73" s="489"/>
      <c r="Z73" s="489"/>
      <c r="AA73" s="489"/>
      <c r="AB73" s="217"/>
      <c r="AC73" s="489"/>
      <c r="AD73" s="489"/>
      <c r="AE73" s="489"/>
    </row>
    <row r="74" spans="3:31">
      <c r="C74" s="489"/>
      <c r="D74" s="489"/>
      <c r="E74" s="217"/>
      <c r="F74" s="224"/>
      <c r="G74" s="224"/>
      <c r="H74" s="224"/>
      <c r="I74" s="489"/>
      <c r="J74" s="489"/>
      <c r="K74" s="217"/>
      <c r="L74" s="224"/>
      <c r="M74" s="224"/>
      <c r="N74" s="224"/>
      <c r="O74" s="489"/>
      <c r="P74" s="489"/>
      <c r="Q74" s="217"/>
      <c r="R74" s="489"/>
      <c r="S74" s="489"/>
      <c r="T74" s="489"/>
      <c r="U74" s="489"/>
      <c r="V74" s="489"/>
      <c r="W74" s="217"/>
      <c r="X74" s="489"/>
      <c r="Y74" s="489"/>
      <c r="Z74" s="489"/>
      <c r="AA74" s="489"/>
      <c r="AB74" s="217"/>
      <c r="AC74" s="489"/>
      <c r="AD74" s="489"/>
      <c r="AE74" s="489"/>
    </row>
    <row r="75" spans="3:31">
      <c r="C75" s="489"/>
      <c r="D75" s="489"/>
      <c r="E75" s="217"/>
      <c r="F75" s="224"/>
      <c r="G75" s="224"/>
      <c r="H75" s="224"/>
      <c r="I75" s="489"/>
      <c r="J75" s="489"/>
      <c r="K75" s="217"/>
      <c r="L75" s="224"/>
      <c r="M75" s="224"/>
      <c r="N75" s="224"/>
      <c r="O75" s="489"/>
      <c r="P75" s="489"/>
      <c r="Q75" s="217"/>
      <c r="R75" s="489"/>
      <c r="S75" s="489"/>
      <c r="T75" s="489"/>
      <c r="U75" s="489"/>
      <c r="V75" s="489"/>
      <c r="W75" s="217"/>
      <c r="X75" s="489"/>
      <c r="Y75" s="489"/>
      <c r="Z75" s="489"/>
      <c r="AA75" s="489"/>
      <c r="AB75" s="217"/>
      <c r="AC75" s="489"/>
      <c r="AD75" s="489"/>
      <c r="AE75" s="489"/>
    </row>
    <row r="76" spans="3:31">
      <c r="C76" s="489"/>
      <c r="D76" s="489"/>
      <c r="E76" s="217"/>
      <c r="F76" s="224"/>
      <c r="G76" s="224"/>
      <c r="H76" s="224"/>
      <c r="I76" s="489"/>
      <c r="J76" s="489"/>
      <c r="K76" s="217"/>
      <c r="L76" s="224"/>
      <c r="M76" s="224"/>
      <c r="N76" s="224"/>
      <c r="O76" s="489"/>
      <c r="P76" s="489"/>
      <c r="Q76" s="217"/>
      <c r="R76" s="489"/>
      <c r="S76" s="489"/>
      <c r="T76" s="489"/>
      <c r="U76" s="489"/>
      <c r="V76" s="489"/>
      <c r="W76" s="217"/>
      <c r="X76" s="489"/>
      <c r="Y76" s="489"/>
      <c r="Z76" s="489"/>
      <c r="AA76" s="489"/>
      <c r="AB76" s="217"/>
      <c r="AC76" s="489"/>
      <c r="AD76" s="489"/>
      <c r="AE76" s="489"/>
    </row>
    <row r="77" spans="3:31">
      <c r="C77" s="489"/>
      <c r="D77" s="489"/>
      <c r="E77" s="217"/>
      <c r="F77" s="224"/>
      <c r="G77" s="224"/>
      <c r="H77" s="224"/>
      <c r="I77" s="489"/>
      <c r="J77" s="489"/>
      <c r="K77" s="217"/>
      <c r="L77" s="224"/>
      <c r="M77" s="224"/>
      <c r="N77" s="224"/>
      <c r="O77" s="489"/>
      <c r="P77" s="489"/>
      <c r="Q77" s="217"/>
      <c r="R77" s="489"/>
      <c r="S77" s="489"/>
      <c r="T77" s="489"/>
      <c r="U77" s="489"/>
      <c r="V77" s="489"/>
      <c r="W77" s="217"/>
      <c r="X77" s="489"/>
      <c r="Y77" s="489"/>
      <c r="Z77" s="489"/>
      <c r="AA77" s="489"/>
      <c r="AB77" s="217"/>
      <c r="AC77" s="489"/>
      <c r="AD77" s="489"/>
      <c r="AE77" s="489"/>
    </row>
    <row r="78" spans="3:31">
      <c r="C78" s="489"/>
      <c r="D78" s="489"/>
      <c r="E78" s="217"/>
      <c r="F78" s="224"/>
      <c r="G78" s="224"/>
      <c r="H78" s="224"/>
      <c r="I78" s="489"/>
      <c r="J78" s="489"/>
      <c r="K78" s="217"/>
      <c r="L78" s="224"/>
      <c r="M78" s="224"/>
      <c r="N78" s="224"/>
      <c r="O78" s="489"/>
      <c r="P78" s="489"/>
      <c r="Q78" s="217"/>
      <c r="R78" s="489"/>
      <c r="S78" s="489"/>
      <c r="T78" s="489"/>
      <c r="U78" s="489"/>
      <c r="V78" s="489"/>
      <c r="W78" s="217"/>
      <c r="X78" s="489"/>
      <c r="Y78" s="489"/>
      <c r="Z78" s="489"/>
      <c r="AA78" s="489"/>
      <c r="AB78" s="217"/>
      <c r="AC78" s="489"/>
      <c r="AD78" s="489"/>
      <c r="AE78" s="489"/>
    </row>
    <row r="79" spans="3:31">
      <c r="C79" s="489"/>
      <c r="D79" s="489"/>
      <c r="E79" s="217"/>
      <c r="F79" s="224"/>
      <c r="G79" s="224"/>
      <c r="H79" s="224"/>
      <c r="I79" s="489"/>
      <c r="J79" s="489"/>
      <c r="K79" s="217"/>
      <c r="L79" s="224"/>
      <c r="M79" s="224"/>
      <c r="N79" s="224"/>
      <c r="O79" s="489"/>
      <c r="P79" s="489"/>
      <c r="Q79" s="217"/>
      <c r="R79" s="489"/>
      <c r="S79" s="489"/>
      <c r="T79" s="489"/>
      <c r="U79" s="489"/>
      <c r="V79" s="489"/>
      <c r="W79" s="217"/>
      <c r="X79" s="489"/>
      <c r="Y79" s="489"/>
      <c r="Z79" s="489"/>
      <c r="AA79" s="489"/>
      <c r="AB79" s="217"/>
      <c r="AC79" s="489"/>
      <c r="AD79" s="489"/>
      <c r="AE79" s="489"/>
    </row>
    <row r="80" spans="3:31">
      <c r="C80" s="489"/>
      <c r="D80" s="489"/>
      <c r="E80" s="217"/>
      <c r="F80" s="224"/>
      <c r="G80" s="224"/>
      <c r="H80" s="224"/>
      <c r="I80" s="489"/>
      <c r="J80" s="489"/>
      <c r="K80" s="217"/>
      <c r="L80" s="224"/>
      <c r="M80" s="224"/>
      <c r="N80" s="224"/>
      <c r="O80" s="489"/>
      <c r="P80" s="489"/>
      <c r="Q80" s="217"/>
      <c r="R80" s="489"/>
      <c r="S80" s="489"/>
      <c r="T80" s="489"/>
      <c r="U80" s="489"/>
      <c r="V80" s="489"/>
      <c r="W80" s="217"/>
      <c r="X80" s="489"/>
      <c r="Y80" s="489"/>
      <c r="Z80" s="489"/>
      <c r="AA80" s="489"/>
      <c r="AB80" s="217"/>
      <c r="AC80" s="489"/>
      <c r="AD80" s="489"/>
      <c r="AE80" s="489"/>
    </row>
    <row r="81" spans="3:31">
      <c r="C81" s="489"/>
      <c r="D81" s="489"/>
      <c r="E81" s="217"/>
      <c r="F81" s="224"/>
      <c r="G81" s="224"/>
      <c r="H81" s="224"/>
      <c r="I81" s="489"/>
      <c r="J81" s="489"/>
      <c r="K81" s="217"/>
      <c r="L81" s="224"/>
      <c r="M81" s="224"/>
      <c r="N81" s="224"/>
      <c r="O81" s="489"/>
      <c r="P81" s="489"/>
      <c r="Q81" s="217"/>
      <c r="R81" s="489"/>
      <c r="S81" s="489"/>
      <c r="T81" s="489"/>
      <c r="U81" s="489"/>
      <c r="V81" s="489"/>
      <c r="W81" s="217"/>
      <c r="X81" s="489"/>
      <c r="Y81" s="489"/>
      <c r="Z81" s="489"/>
      <c r="AA81" s="489"/>
      <c r="AB81" s="217"/>
      <c r="AC81" s="489"/>
      <c r="AD81" s="489"/>
      <c r="AE81" s="489"/>
    </row>
    <row r="82" spans="3:31">
      <c r="C82" s="489"/>
      <c r="D82" s="489"/>
      <c r="E82" s="217"/>
      <c r="F82" s="224"/>
      <c r="G82" s="224"/>
      <c r="H82" s="224"/>
      <c r="I82" s="489"/>
      <c r="J82" s="489"/>
      <c r="K82" s="217"/>
      <c r="L82" s="224"/>
      <c r="M82" s="224"/>
      <c r="N82" s="224"/>
      <c r="O82" s="489"/>
      <c r="P82" s="489"/>
      <c r="Q82" s="217"/>
      <c r="R82" s="489"/>
      <c r="S82" s="489"/>
      <c r="T82" s="489"/>
      <c r="U82" s="489"/>
      <c r="V82" s="489"/>
      <c r="W82" s="217"/>
      <c r="X82" s="489"/>
      <c r="Y82" s="489"/>
      <c r="Z82" s="489"/>
      <c r="AA82" s="489"/>
      <c r="AB82" s="217"/>
      <c r="AC82" s="489"/>
      <c r="AD82" s="489"/>
      <c r="AE82" s="489"/>
    </row>
    <row r="83" spans="3:31">
      <c r="C83" s="489"/>
      <c r="D83" s="489"/>
      <c r="E83" s="217"/>
      <c r="F83" s="224"/>
      <c r="G83" s="224"/>
      <c r="H83" s="224"/>
      <c r="I83" s="489"/>
      <c r="J83" s="489"/>
      <c r="K83" s="217"/>
      <c r="L83" s="224"/>
      <c r="M83" s="224"/>
      <c r="N83" s="224"/>
      <c r="O83" s="489"/>
      <c r="P83" s="489"/>
      <c r="Q83" s="217"/>
      <c r="R83" s="489"/>
      <c r="S83" s="489"/>
      <c r="T83" s="489"/>
      <c r="U83" s="489"/>
      <c r="V83" s="489"/>
      <c r="W83" s="217"/>
      <c r="X83" s="489"/>
      <c r="Y83" s="489"/>
      <c r="Z83" s="489"/>
      <c r="AA83" s="489"/>
      <c r="AB83" s="217"/>
      <c r="AC83" s="489"/>
      <c r="AD83" s="489"/>
      <c r="AE83" s="489"/>
    </row>
    <row r="84" spans="3:31">
      <c r="C84" s="489"/>
      <c r="D84" s="489"/>
      <c r="E84" s="217"/>
      <c r="F84" s="224"/>
      <c r="G84" s="224"/>
      <c r="H84" s="224"/>
      <c r="I84" s="489"/>
      <c r="J84" s="489"/>
      <c r="K84" s="217"/>
      <c r="L84" s="224"/>
      <c r="M84" s="224"/>
      <c r="N84" s="224"/>
      <c r="O84" s="489"/>
      <c r="P84" s="489"/>
      <c r="Q84" s="217"/>
      <c r="R84" s="489"/>
      <c r="S84" s="489"/>
      <c r="T84" s="489"/>
      <c r="U84" s="489"/>
      <c r="V84" s="489"/>
      <c r="W84" s="217"/>
      <c r="X84" s="489"/>
      <c r="Y84" s="489"/>
      <c r="Z84" s="489"/>
      <c r="AA84" s="489"/>
      <c r="AB84" s="217"/>
      <c r="AC84" s="489"/>
      <c r="AD84" s="489"/>
      <c r="AE84" s="489"/>
    </row>
    <row r="85" spans="3:31">
      <c r="C85" s="489"/>
      <c r="D85" s="489"/>
      <c r="E85" s="217"/>
      <c r="F85" s="224"/>
      <c r="G85" s="224"/>
      <c r="H85" s="224"/>
      <c r="I85" s="489"/>
      <c r="J85" s="489"/>
      <c r="K85" s="217"/>
      <c r="L85" s="224"/>
      <c r="M85" s="224"/>
      <c r="N85" s="224"/>
      <c r="O85" s="489"/>
      <c r="P85" s="489"/>
      <c r="Q85" s="217"/>
      <c r="R85" s="489"/>
      <c r="S85" s="489"/>
      <c r="T85" s="489"/>
      <c r="U85" s="489"/>
      <c r="V85" s="489"/>
      <c r="W85" s="217"/>
      <c r="X85" s="489"/>
      <c r="Y85" s="489"/>
      <c r="Z85" s="489"/>
      <c r="AA85" s="489"/>
      <c r="AB85" s="217"/>
      <c r="AC85" s="489"/>
      <c r="AD85" s="489"/>
      <c r="AE85" s="489"/>
    </row>
    <row r="86" spans="3:31">
      <c r="C86" s="489"/>
      <c r="D86" s="489"/>
      <c r="E86" s="217"/>
      <c r="F86" s="224"/>
      <c r="G86" s="224"/>
      <c r="H86" s="224"/>
      <c r="I86" s="489"/>
      <c r="J86" s="489"/>
      <c r="K86" s="217"/>
      <c r="L86" s="224"/>
      <c r="M86" s="224"/>
      <c r="N86" s="224"/>
      <c r="O86" s="489"/>
      <c r="P86" s="489"/>
      <c r="Q86" s="217"/>
      <c r="R86" s="489"/>
      <c r="S86" s="489"/>
      <c r="T86" s="489"/>
      <c r="U86" s="489"/>
      <c r="V86" s="489"/>
      <c r="W86" s="217"/>
      <c r="X86" s="489"/>
      <c r="Y86" s="489"/>
      <c r="Z86" s="489"/>
      <c r="AA86" s="489"/>
      <c r="AB86" s="217"/>
      <c r="AC86" s="489"/>
      <c r="AD86" s="489"/>
      <c r="AE86" s="489"/>
    </row>
    <row r="87" spans="3:31">
      <c r="C87" s="489"/>
      <c r="D87" s="489"/>
      <c r="E87" s="217"/>
      <c r="F87" s="224"/>
      <c r="G87" s="224"/>
      <c r="H87" s="224"/>
      <c r="I87" s="489"/>
      <c r="J87" s="489"/>
      <c r="K87" s="217"/>
      <c r="L87" s="224"/>
      <c r="M87" s="224"/>
      <c r="N87" s="224"/>
      <c r="O87" s="489"/>
      <c r="P87" s="489"/>
      <c r="Q87" s="217"/>
      <c r="R87" s="489"/>
      <c r="S87" s="489"/>
      <c r="T87" s="489"/>
      <c r="U87" s="489"/>
      <c r="V87" s="489"/>
      <c r="W87" s="217"/>
      <c r="X87" s="489"/>
      <c r="Y87" s="489"/>
      <c r="Z87" s="489"/>
      <c r="AA87" s="489"/>
      <c r="AB87" s="217"/>
      <c r="AC87" s="489"/>
      <c r="AD87" s="489"/>
      <c r="AE87" s="489"/>
    </row>
    <row r="88" spans="3:31">
      <c r="C88" s="489"/>
      <c r="D88" s="489"/>
      <c r="E88" s="217"/>
      <c r="F88" s="224"/>
      <c r="G88" s="224"/>
      <c r="H88" s="224"/>
      <c r="I88" s="489"/>
      <c r="J88" s="489"/>
      <c r="K88" s="217"/>
      <c r="L88" s="224"/>
      <c r="M88" s="224"/>
      <c r="N88" s="224"/>
      <c r="O88" s="489"/>
      <c r="P88" s="489"/>
      <c r="Q88" s="217"/>
      <c r="R88" s="489"/>
      <c r="S88" s="489"/>
      <c r="T88" s="489"/>
      <c r="U88" s="489"/>
      <c r="V88" s="489"/>
      <c r="W88" s="217"/>
      <c r="X88" s="489"/>
      <c r="Y88" s="489"/>
      <c r="Z88" s="489"/>
      <c r="AA88" s="489"/>
      <c r="AB88" s="217"/>
      <c r="AC88" s="489"/>
      <c r="AD88" s="489"/>
      <c r="AE88" s="489"/>
    </row>
  </sheetData>
  <sheetProtection formatCells="0"/>
  <mergeCells count="14">
    <mergeCell ref="AA7:AE8"/>
    <mergeCell ref="C2:F3"/>
    <mergeCell ref="AA10:AD10"/>
    <mergeCell ref="W5:X5"/>
    <mergeCell ref="D5:L6"/>
    <mergeCell ref="C10:F10"/>
    <mergeCell ref="I10:L10"/>
    <mergeCell ref="O10:R10"/>
    <mergeCell ref="U10:X10"/>
    <mergeCell ref="D7:L8"/>
    <mergeCell ref="W7:X7"/>
    <mergeCell ref="P5:V6"/>
    <mergeCell ref="P7:Q8"/>
    <mergeCell ref="AA5:AC6"/>
  </mergeCells>
  <phoneticPr fontId="2"/>
  <conditionalFormatting sqref="F22:F25 F32 L22:L25 L32:L33 R22 R22 R22:R25 R32:R33 X32:X33 X22:X23 X13:X14 R13:R14 L13 F13">
    <cfRule type="cellIs" dxfId="41" priority="1" operator="greaterThan">
      <formula>D13</formula>
    </cfRule>
  </conditionalFormatting>
  <hyperlinks>
    <hyperlink ref="C2:F3" location="提案表紙!A1" display="大阪府折込資料表" xr:uid="{00000000-0004-0000-0A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&amp;L天王寺区・生野区・東成区
&amp;RP-7/34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B6D2F5"/>
    <pageSetUpPr fitToPage="1"/>
  </sheetPr>
  <dimension ref="A1:AE65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20" width="8.6640625" style="14" hidden="1" customWidth="1"/>
    <col min="21" max="21" width="13.6640625" style="18" customWidth="1"/>
    <col min="22" max="22" width="6.77734375" customWidth="1"/>
    <col min="23" max="23" width="3.33203125" style="15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W1"/>
      <c r="X1" s="51" t="s">
        <v>301</v>
      </c>
      <c r="Y1" s="338" t="s">
        <v>1369</v>
      </c>
      <c r="Z1" s="51" t="s">
        <v>1370</v>
      </c>
      <c r="AA1" s="18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U2"/>
      <c r="W2" s="500"/>
      <c r="X2" s="500" t="s">
        <v>1313</v>
      </c>
      <c r="Y2"/>
      <c r="Z2"/>
    </row>
    <row r="3" spans="1:31" ht="13.5" customHeight="1">
      <c r="C3" s="835"/>
      <c r="D3" s="835"/>
      <c r="E3" s="835"/>
      <c r="F3" s="835"/>
      <c r="G3" s="460"/>
      <c r="H3" s="460"/>
      <c r="I3" s="114" t="s">
        <v>561</v>
      </c>
      <c r="K3"/>
      <c r="L3"/>
      <c r="M3"/>
      <c r="N3"/>
      <c r="Q3"/>
      <c r="R3"/>
      <c r="S3" s="51"/>
      <c r="T3"/>
      <c r="U3"/>
      <c r="W3" s="500"/>
      <c r="X3" s="500" t="s">
        <v>1501</v>
      </c>
      <c r="Y3"/>
      <c r="Z3"/>
    </row>
    <row r="4" spans="1:31" ht="13.5" customHeight="1">
      <c r="C4" t="s">
        <v>317</v>
      </c>
      <c r="E4"/>
      <c r="F4"/>
      <c r="G4"/>
      <c r="H4"/>
      <c r="I4" s="187">
        <v>45717</v>
      </c>
      <c r="J4" s="186" t="s">
        <v>0</v>
      </c>
      <c r="K4" t="s">
        <v>272</v>
      </c>
      <c r="L4"/>
      <c r="M4"/>
      <c r="N4"/>
      <c r="Q4"/>
      <c r="R4"/>
      <c r="S4" s="51"/>
      <c r="T4"/>
      <c r="U4"/>
      <c r="W4" s="500"/>
      <c r="X4" s="500" t="s">
        <v>1500</v>
      </c>
      <c r="Y4"/>
      <c r="Z4"/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299</v>
      </c>
      <c r="P7" s="827">
        <f>提案表紙!G9</f>
        <v>0</v>
      </c>
      <c r="Q7" s="828"/>
      <c r="R7" s="7" t="s">
        <v>249</v>
      </c>
      <c r="S7"/>
      <c r="T7"/>
      <c r="U7" s="410">
        <f>大阪市城東折込部数+大阪市鶴見区折込部数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250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U9"/>
      <c r="W9"/>
      <c r="X9"/>
      <c r="Y9"/>
      <c r="Z9"/>
    </row>
    <row r="10" spans="1:31" ht="16.2" customHeight="1">
      <c r="A10" s="51">
        <v>1</v>
      </c>
      <c r="B10" s="51">
        <v>2</v>
      </c>
      <c r="C10" s="818" t="s">
        <v>309</v>
      </c>
      <c r="D10" s="819"/>
      <c r="E10" s="819"/>
      <c r="F10" s="820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311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505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505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505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505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505" t="s">
        <v>231</v>
      </c>
      <c r="AE11" s="507" t="s">
        <v>308</v>
      </c>
    </row>
    <row r="12" spans="1:31" ht="16.2" customHeight="1">
      <c r="A12" s="51">
        <v>2</v>
      </c>
      <c r="B12" s="488" t="s">
        <v>1403</v>
      </c>
      <c r="C12" s="46" t="s">
        <v>906</v>
      </c>
      <c r="D12" s="12"/>
      <c r="E12" s="19"/>
      <c r="F12" s="16"/>
      <c r="G12" s="51">
        <v>2</v>
      </c>
      <c r="H12" s="488" t="s">
        <v>1403</v>
      </c>
      <c r="I12" s="11"/>
      <c r="J12" s="12"/>
      <c r="K12" s="19"/>
      <c r="L12" s="16"/>
      <c r="M12" s="51">
        <v>2</v>
      </c>
      <c r="N12" s="488" t="s">
        <v>1403</v>
      </c>
      <c r="O12" s="11"/>
      <c r="P12" s="12"/>
      <c r="Q12" s="19"/>
      <c r="R12" s="16"/>
      <c r="S12" s="51">
        <v>2</v>
      </c>
      <c r="T12" s="488" t="s">
        <v>1403</v>
      </c>
      <c r="U12" s="508"/>
      <c r="V12" s="12"/>
      <c r="W12" s="19"/>
      <c r="X12" s="16"/>
      <c r="Y12" s="51">
        <v>2</v>
      </c>
      <c r="Z12" s="488" t="s">
        <v>1403</v>
      </c>
      <c r="AA12" s="11"/>
      <c r="AB12" s="12"/>
      <c r="AC12" s="11"/>
      <c r="AD12" s="11"/>
    </row>
    <row r="13" spans="1:31" ht="16.2" customHeight="1">
      <c r="A13" s="51">
        <v>3</v>
      </c>
      <c r="B13" s="51">
        <v>72079</v>
      </c>
      <c r="C13" s="441" t="s">
        <v>1324</v>
      </c>
      <c r="D13" s="148">
        <v>3250</v>
      </c>
      <c r="E13" s="136"/>
      <c r="F13" s="404"/>
      <c r="G13" s="51">
        <v>3</v>
      </c>
      <c r="H13" s="51">
        <v>73093</v>
      </c>
      <c r="I13" s="441" t="s">
        <v>1036</v>
      </c>
      <c r="J13" s="148">
        <v>4850</v>
      </c>
      <c r="K13" s="136"/>
      <c r="L13" s="404"/>
      <c r="M13" s="51">
        <v>3</v>
      </c>
      <c r="N13" s="51">
        <v>75103</v>
      </c>
      <c r="O13" s="386" t="s">
        <v>1031</v>
      </c>
      <c r="P13" s="148">
        <v>1450</v>
      </c>
      <c r="Q13" s="136"/>
      <c r="R13" s="404"/>
      <c r="S13" s="51">
        <v>3</v>
      </c>
      <c r="T13" s="51">
        <v>74111</v>
      </c>
      <c r="U13" s="441" t="s">
        <v>1035</v>
      </c>
      <c r="V13" s="148">
        <v>1100</v>
      </c>
      <c r="W13" s="136"/>
      <c r="X13" s="404"/>
      <c r="Y13" s="51">
        <v>3</v>
      </c>
      <c r="Z13" s="51"/>
      <c r="AA13" s="703"/>
      <c r="AB13" s="215"/>
      <c r="AC13" s="511"/>
      <c r="AD13" s="129"/>
      <c r="AE13" s="513"/>
    </row>
    <row r="14" spans="1:31" ht="16.2" customHeight="1">
      <c r="A14" s="51">
        <v>3</v>
      </c>
      <c r="B14" s="51">
        <v>72081</v>
      </c>
      <c r="C14" s="386" t="s">
        <v>1029</v>
      </c>
      <c r="D14" s="143">
        <v>3000</v>
      </c>
      <c r="E14" s="137"/>
      <c r="F14" s="396"/>
      <c r="G14" s="51">
        <v>3</v>
      </c>
      <c r="H14" s="51">
        <v>73095</v>
      </c>
      <c r="I14" s="386" t="s">
        <v>1322</v>
      </c>
      <c r="J14" s="143">
        <v>1250</v>
      </c>
      <c r="K14" s="137"/>
      <c r="L14" s="405"/>
      <c r="M14" s="51">
        <v>3</v>
      </c>
      <c r="N14" s="51">
        <v>75105</v>
      </c>
      <c r="O14" s="386" t="s">
        <v>1027</v>
      </c>
      <c r="P14" s="143">
        <v>1550</v>
      </c>
      <c r="Q14" s="137"/>
      <c r="R14" s="405"/>
      <c r="S14" s="51">
        <v>3</v>
      </c>
      <c r="T14" s="51">
        <v>74115</v>
      </c>
      <c r="U14" s="386" t="s">
        <v>1032</v>
      </c>
      <c r="V14" s="143">
        <v>1650</v>
      </c>
      <c r="W14" s="137"/>
      <c r="X14" s="405"/>
      <c r="Y14" s="51">
        <v>3</v>
      </c>
      <c r="Z14" s="51"/>
      <c r="AA14" s="512"/>
      <c r="AB14" s="139"/>
      <c r="AC14" s="515"/>
      <c r="AD14" s="132"/>
      <c r="AE14" s="516"/>
    </row>
    <row r="15" spans="1:31" ht="16.2" customHeight="1">
      <c r="A15" s="51">
        <v>3</v>
      </c>
      <c r="B15" s="51"/>
      <c r="C15" s="386"/>
      <c r="D15" s="446"/>
      <c r="E15" s="137"/>
      <c r="F15" s="405"/>
      <c r="G15" s="51">
        <v>3</v>
      </c>
      <c r="H15" s="51">
        <v>73097</v>
      </c>
      <c r="I15" s="386" t="s">
        <v>1342</v>
      </c>
      <c r="J15" s="143">
        <v>2750</v>
      </c>
      <c r="K15" s="137"/>
      <c r="L15" s="405"/>
      <c r="M15" s="51">
        <v>3</v>
      </c>
      <c r="N15" s="51">
        <v>75107</v>
      </c>
      <c r="O15" s="386" t="s">
        <v>1032</v>
      </c>
      <c r="P15" s="143">
        <v>750</v>
      </c>
      <c r="Q15" s="137"/>
      <c r="R15" s="405"/>
      <c r="S15" s="51">
        <v>3</v>
      </c>
      <c r="T15" s="51">
        <v>74117</v>
      </c>
      <c r="U15" s="386" t="s">
        <v>1036</v>
      </c>
      <c r="V15" s="143">
        <v>2100</v>
      </c>
      <c r="W15" s="137"/>
      <c r="X15" s="405"/>
      <c r="Y15" s="51">
        <v>3</v>
      </c>
      <c r="Z15" s="51"/>
      <c r="AA15" s="512"/>
      <c r="AB15" s="139"/>
      <c r="AC15" s="515"/>
      <c r="AD15" s="132"/>
      <c r="AE15" s="516"/>
    </row>
    <row r="16" spans="1:31" ht="16.2" customHeight="1">
      <c r="A16" s="51">
        <v>3</v>
      </c>
      <c r="B16" s="51"/>
      <c r="C16" s="386"/>
      <c r="D16" s="143"/>
      <c r="E16" s="137"/>
      <c r="F16" s="405"/>
      <c r="G16" s="51">
        <v>3</v>
      </c>
      <c r="H16" s="51"/>
      <c r="I16" s="386"/>
      <c r="J16" s="143"/>
      <c r="K16" s="137"/>
      <c r="L16" s="405"/>
      <c r="M16" s="51">
        <v>3</v>
      </c>
      <c r="N16" s="51">
        <v>75109</v>
      </c>
      <c r="O16" s="386" t="s">
        <v>1034</v>
      </c>
      <c r="P16" s="143">
        <v>1200</v>
      </c>
      <c r="Q16" s="137"/>
      <c r="R16" s="405"/>
      <c r="S16" s="51">
        <v>3</v>
      </c>
      <c r="T16" s="51">
        <v>74119</v>
      </c>
      <c r="U16" s="386" t="s">
        <v>1031</v>
      </c>
      <c r="V16" s="143">
        <v>1050</v>
      </c>
      <c r="W16" s="137"/>
      <c r="X16" s="405"/>
      <c r="Y16" s="51">
        <v>3</v>
      </c>
      <c r="Z16" s="51"/>
      <c r="AA16" s="512"/>
      <c r="AB16" s="139"/>
      <c r="AC16" s="515"/>
      <c r="AD16" s="132"/>
      <c r="AE16" s="516"/>
    </row>
    <row r="17" spans="1:31" ht="16.2" customHeight="1">
      <c r="A17" s="51">
        <v>3</v>
      </c>
      <c r="B17" s="51"/>
      <c r="C17" s="386"/>
      <c r="D17" s="143"/>
      <c r="E17" s="137"/>
      <c r="F17" s="132"/>
      <c r="G17" s="51">
        <v>3</v>
      </c>
      <c r="H17" s="51"/>
      <c r="I17" s="512"/>
      <c r="J17" s="139"/>
      <c r="K17" s="137"/>
      <c r="L17" s="405"/>
      <c r="M17" s="51">
        <v>3</v>
      </c>
      <c r="N17" s="51"/>
      <c r="O17" s="386"/>
      <c r="P17" s="143"/>
      <c r="Q17" s="137"/>
      <c r="R17" s="132"/>
      <c r="S17" s="51">
        <v>3</v>
      </c>
      <c r="T17" s="51">
        <v>74121</v>
      </c>
      <c r="U17" s="386" t="s">
        <v>1028</v>
      </c>
      <c r="V17" s="143">
        <v>2550</v>
      </c>
      <c r="W17" s="137"/>
      <c r="X17" s="405"/>
      <c r="Y17" s="51">
        <v>3</v>
      </c>
      <c r="Z17" s="51"/>
      <c r="AA17" s="512"/>
      <c r="AB17" s="139"/>
      <c r="AC17" s="515"/>
      <c r="AD17" s="132"/>
      <c r="AE17" s="516"/>
    </row>
    <row r="18" spans="1:31" ht="16.2" customHeight="1">
      <c r="A18" s="51">
        <v>3</v>
      </c>
      <c r="B18" s="51"/>
      <c r="C18" s="512"/>
      <c r="D18" s="139"/>
      <c r="E18" s="137"/>
      <c r="F18" s="132"/>
      <c r="G18" s="51">
        <v>3</v>
      </c>
      <c r="H18" s="51"/>
      <c r="I18" s="512"/>
      <c r="J18" s="139"/>
      <c r="K18" s="137"/>
      <c r="L18" s="132"/>
      <c r="M18" s="51">
        <v>3</v>
      </c>
      <c r="N18" s="51"/>
      <c r="O18" s="512"/>
      <c r="P18" s="139"/>
      <c r="Q18" s="137"/>
      <c r="R18" s="132"/>
      <c r="S18" s="51">
        <v>3</v>
      </c>
      <c r="T18" s="51"/>
      <c r="U18" s="386"/>
      <c r="V18" s="446"/>
      <c r="W18" s="137"/>
      <c r="X18" s="405"/>
      <c r="Y18" s="51">
        <v>3</v>
      </c>
      <c r="Z18" s="51"/>
      <c r="AA18" s="512"/>
      <c r="AB18" s="139"/>
      <c r="AC18" s="515"/>
      <c r="AD18" s="132"/>
      <c r="AE18" s="516"/>
    </row>
    <row r="19" spans="1:31" ht="16.2" customHeight="1" thickBot="1">
      <c r="A19" s="51">
        <v>3</v>
      </c>
      <c r="B19" s="51"/>
      <c r="C19" s="520"/>
      <c r="D19" s="208"/>
      <c r="E19" s="138"/>
      <c r="F19" s="133"/>
      <c r="G19" s="51">
        <v>3</v>
      </c>
      <c r="H19" s="51"/>
      <c r="I19" s="520"/>
      <c r="J19" s="208"/>
      <c r="K19" s="138"/>
      <c r="L19" s="133"/>
      <c r="M19" s="51">
        <v>3</v>
      </c>
      <c r="N19" s="51"/>
      <c r="O19" s="520"/>
      <c r="P19" s="208"/>
      <c r="Q19" s="138"/>
      <c r="R19" s="133"/>
      <c r="S19" s="51">
        <v>3</v>
      </c>
      <c r="T19" s="51"/>
      <c r="U19" s="520"/>
      <c r="V19" s="208"/>
      <c r="W19" s="138"/>
      <c r="X19" s="133"/>
      <c r="Y19" s="51">
        <v>3</v>
      </c>
      <c r="Z19" s="51"/>
      <c r="AA19" s="701"/>
      <c r="AB19" s="208"/>
      <c r="AC19" s="519"/>
      <c r="AD19" s="133"/>
      <c r="AE19" s="516"/>
    </row>
    <row r="20" spans="1:31" ht="16.2" customHeight="1" thickTop="1">
      <c r="A20" s="51">
        <v>4</v>
      </c>
      <c r="B20" s="51"/>
      <c r="C20" s="523" t="s">
        <v>271</v>
      </c>
      <c r="D20" s="535">
        <f xml:space="preserve"> SUM(D13:D19)</f>
        <v>6250</v>
      </c>
      <c r="E20" s="28"/>
      <c r="F20" s="75">
        <f>SUM(F13:F19)</f>
        <v>0</v>
      </c>
      <c r="G20" s="51">
        <v>4</v>
      </c>
      <c r="H20" s="51"/>
      <c r="I20" s="523" t="s">
        <v>271</v>
      </c>
      <c r="J20" s="535">
        <f xml:space="preserve"> SUM(J13:J19)</f>
        <v>8850</v>
      </c>
      <c r="K20" s="28"/>
      <c r="L20" s="75">
        <f>SUM(L13:L19)</f>
        <v>0</v>
      </c>
      <c r="M20" s="51">
        <v>4</v>
      </c>
      <c r="N20" s="51"/>
      <c r="O20" s="523" t="s">
        <v>271</v>
      </c>
      <c r="P20" s="535">
        <f xml:space="preserve"> SUM(P13:P19)</f>
        <v>4950</v>
      </c>
      <c r="Q20" s="28"/>
      <c r="R20" s="75">
        <f>SUM(R13:R19)</f>
        <v>0</v>
      </c>
      <c r="S20" s="51">
        <v>4</v>
      </c>
      <c r="T20" s="51"/>
      <c r="U20" s="523" t="s">
        <v>271</v>
      </c>
      <c r="V20" s="27">
        <f xml:space="preserve"> SUM(V13:V19)</f>
        <v>8450</v>
      </c>
      <c r="W20" s="28"/>
      <c r="X20" s="75">
        <f>SUM(X13:X19)</f>
        <v>0</v>
      </c>
      <c r="Y20" s="51">
        <v>4</v>
      </c>
      <c r="Z20" s="51"/>
      <c r="AA20" s="523" t="s">
        <v>271</v>
      </c>
      <c r="AB20" s="27">
        <f>SUM(AB13:AB19)</f>
        <v>0</v>
      </c>
      <c r="AC20" s="522"/>
      <c r="AD20" s="75">
        <f>SUM(AD13:AD19)</f>
        <v>0</v>
      </c>
      <c r="AE20" s="524">
        <f>D20+J20+P20+V20+AB20</f>
        <v>28500</v>
      </c>
    </row>
    <row r="21" spans="1:31" ht="16.2" customHeight="1">
      <c r="A21" s="51"/>
      <c r="B21" s="51"/>
      <c r="G21" s="51"/>
      <c r="H21" s="51"/>
      <c r="L21" s="224"/>
      <c r="M21" s="51"/>
      <c r="N21" s="51"/>
      <c r="O21" s="489"/>
      <c r="P21" s="489"/>
      <c r="Q21" s="217"/>
      <c r="R21" s="224"/>
      <c r="S21" s="51"/>
      <c r="T21" s="51"/>
      <c r="U21" s="537"/>
      <c r="V21" s="489"/>
      <c r="W21" s="217"/>
      <c r="X21" s="224"/>
      <c r="Y21" s="51"/>
      <c r="Z21" s="51"/>
      <c r="AA21" s="489"/>
      <c r="AB21" s="489"/>
      <c r="AD21" s="527" t="s">
        <v>412</v>
      </c>
      <c r="AE21" s="93">
        <f>A大阪市城東区折込部数+M大阪市城東区折込部数+S大阪市城東区折込部数+Y大阪城東区折込部数+AD20</f>
        <v>0</v>
      </c>
    </row>
    <row r="22" spans="1:31" ht="16.2" customHeight="1">
      <c r="A22" s="51">
        <v>2</v>
      </c>
      <c r="B22" s="488" t="s">
        <v>1404</v>
      </c>
      <c r="C22" s="45" t="s">
        <v>1037</v>
      </c>
      <c r="G22" s="51">
        <v>2</v>
      </c>
      <c r="H22" s="488" t="s">
        <v>1404</v>
      </c>
      <c r="M22" s="51">
        <v>2</v>
      </c>
      <c r="N22" s="488" t="s">
        <v>1404</v>
      </c>
      <c r="R22"/>
      <c r="S22" s="51">
        <v>2</v>
      </c>
      <c r="T22" s="488" t="s">
        <v>1404</v>
      </c>
      <c r="U22"/>
      <c r="X22"/>
      <c r="Y22" s="51">
        <v>2</v>
      </c>
      <c r="Z22" s="488" t="s">
        <v>1404</v>
      </c>
      <c r="AB22" s="15"/>
    </row>
    <row r="23" spans="1:31" ht="16.2" customHeight="1">
      <c r="A23" s="51">
        <v>3</v>
      </c>
      <c r="B23" s="51">
        <v>72083</v>
      </c>
      <c r="C23" s="441" t="s">
        <v>1591</v>
      </c>
      <c r="D23" s="267">
        <v>1600</v>
      </c>
      <c r="E23" s="155"/>
      <c r="F23" s="404"/>
      <c r="G23" s="51">
        <v>3</v>
      </c>
      <c r="H23" s="51">
        <v>73099</v>
      </c>
      <c r="I23" s="441" t="s">
        <v>637</v>
      </c>
      <c r="J23" s="148">
        <v>1350</v>
      </c>
      <c r="K23" s="155"/>
      <c r="L23" s="404"/>
      <c r="M23" s="51">
        <v>3</v>
      </c>
      <c r="N23" s="51">
        <v>75111</v>
      </c>
      <c r="O23" s="441" t="s">
        <v>1041</v>
      </c>
      <c r="P23" s="148">
        <v>1800</v>
      </c>
      <c r="Q23" s="155"/>
      <c r="R23" s="404"/>
      <c r="S23" s="51">
        <v>3</v>
      </c>
      <c r="T23" s="51">
        <v>74123</v>
      </c>
      <c r="U23" s="441" t="s">
        <v>385</v>
      </c>
      <c r="V23" s="148">
        <v>1650</v>
      </c>
      <c r="W23" s="155"/>
      <c r="X23" s="404"/>
      <c r="Y23" s="51">
        <v>3</v>
      </c>
      <c r="Z23" s="51"/>
      <c r="AA23" s="703"/>
      <c r="AB23" s="215"/>
      <c r="AC23" s="511"/>
      <c r="AD23" s="129"/>
      <c r="AE23" s="513"/>
    </row>
    <row r="24" spans="1:31" ht="16.2" customHeight="1">
      <c r="A24" s="51">
        <v>3</v>
      </c>
      <c r="B24" s="51">
        <v>72084</v>
      </c>
      <c r="C24" s="691" t="s">
        <v>1630</v>
      </c>
      <c r="D24" s="352">
        <v>700</v>
      </c>
      <c r="E24" s="165"/>
      <c r="F24" s="405"/>
      <c r="G24" s="51">
        <v>3</v>
      </c>
      <c r="H24" s="51">
        <v>73101</v>
      </c>
      <c r="I24" s="691" t="s">
        <v>1038</v>
      </c>
      <c r="J24" s="352">
        <v>1400</v>
      </c>
      <c r="K24" s="165"/>
      <c r="L24" s="405"/>
      <c r="M24" s="51">
        <v>3</v>
      </c>
      <c r="N24" s="51">
        <v>75113</v>
      </c>
      <c r="O24" s="691" t="s">
        <v>1040</v>
      </c>
      <c r="P24" s="352">
        <v>1550</v>
      </c>
      <c r="Q24" s="165"/>
      <c r="R24" s="405"/>
      <c r="S24" s="51">
        <v>3</v>
      </c>
      <c r="T24" s="51">
        <v>74125</v>
      </c>
      <c r="U24" s="691" t="s">
        <v>1039</v>
      </c>
      <c r="V24" s="352">
        <v>1450</v>
      </c>
      <c r="W24" s="165"/>
      <c r="X24" s="405"/>
      <c r="Y24" s="51">
        <v>3</v>
      </c>
      <c r="Z24" s="51"/>
      <c r="AA24" s="692"/>
      <c r="AB24" s="226"/>
      <c r="AC24" s="543"/>
      <c r="AD24" s="157"/>
      <c r="AE24" s="516"/>
    </row>
    <row r="25" spans="1:31" ht="16.2" customHeight="1">
      <c r="A25" s="51">
        <v>3</v>
      </c>
      <c r="B25" s="51"/>
      <c r="C25" s="691"/>
      <c r="D25" s="493"/>
      <c r="E25" s="165"/>
      <c r="F25" s="405"/>
      <c r="G25" s="51">
        <v>3</v>
      </c>
      <c r="H25" s="51">
        <v>73103</v>
      </c>
      <c r="I25" s="691" t="s">
        <v>1506</v>
      </c>
      <c r="J25" s="352">
        <v>1500</v>
      </c>
      <c r="K25" s="165"/>
      <c r="L25" s="405"/>
      <c r="M25" s="51">
        <v>3</v>
      </c>
      <c r="N25" s="51">
        <v>75115</v>
      </c>
      <c r="O25" s="691" t="s">
        <v>1039</v>
      </c>
      <c r="P25" s="352">
        <v>600</v>
      </c>
      <c r="Q25" s="165"/>
      <c r="R25" s="405"/>
      <c r="S25" s="51">
        <v>3</v>
      </c>
      <c r="T25" s="51">
        <v>74127</v>
      </c>
      <c r="U25" s="691" t="s">
        <v>1042</v>
      </c>
      <c r="V25" s="352">
        <v>1200</v>
      </c>
      <c r="W25" s="165"/>
      <c r="X25" s="405"/>
      <c r="Y25" s="51">
        <v>3</v>
      </c>
      <c r="Z25" s="51"/>
      <c r="AA25" s="692"/>
      <c r="AB25" s="226"/>
      <c r="AC25" s="543"/>
      <c r="AD25" s="157"/>
      <c r="AE25" s="516"/>
    </row>
    <row r="26" spans="1:31" ht="16.2" customHeight="1">
      <c r="A26" s="51">
        <v>3</v>
      </c>
      <c r="B26" s="51"/>
      <c r="C26" s="692"/>
      <c r="D26" s="226"/>
      <c r="E26" s="165"/>
      <c r="F26" s="157"/>
      <c r="G26" s="51">
        <v>3</v>
      </c>
      <c r="H26" s="51"/>
      <c r="I26" s="691"/>
      <c r="J26" s="493"/>
      <c r="K26" s="165"/>
      <c r="L26" s="405"/>
      <c r="M26" s="51">
        <v>3</v>
      </c>
      <c r="N26" s="51"/>
      <c r="O26" s="692"/>
      <c r="P26" s="226"/>
      <c r="Q26" s="165"/>
      <c r="R26" s="157"/>
      <c r="S26" s="51">
        <v>3</v>
      </c>
      <c r="T26" s="51">
        <v>74129</v>
      </c>
      <c r="U26" s="691" t="s">
        <v>1038</v>
      </c>
      <c r="V26" s="352">
        <v>1500</v>
      </c>
      <c r="W26" s="165"/>
      <c r="X26" s="405"/>
      <c r="Y26" s="51">
        <v>3</v>
      </c>
      <c r="Z26" s="51"/>
      <c r="AA26" s="692"/>
      <c r="AB26" s="226"/>
      <c r="AC26" s="543"/>
      <c r="AD26" s="157"/>
      <c r="AE26" s="516"/>
    </row>
    <row r="27" spans="1:31" ht="16.2" customHeight="1">
      <c r="A27" s="51">
        <v>3</v>
      </c>
      <c r="B27" s="51"/>
      <c r="C27" s="692"/>
      <c r="D27" s="226"/>
      <c r="E27" s="165"/>
      <c r="F27" s="157"/>
      <c r="G27" s="51">
        <v>3</v>
      </c>
      <c r="H27" s="51"/>
      <c r="I27" s="692"/>
      <c r="J27" s="226"/>
      <c r="K27" s="165"/>
      <c r="L27" s="157"/>
      <c r="M27" s="51">
        <v>3</v>
      </c>
      <c r="N27" s="51"/>
      <c r="O27" s="692"/>
      <c r="P27" s="226"/>
      <c r="Q27" s="165"/>
      <c r="R27" s="157"/>
      <c r="S27" s="51">
        <v>3</v>
      </c>
      <c r="T27" s="51"/>
      <c r="U27" s="691"/>
      <c r="V27" s="352"/>
      <c r="W27" s="165"/>
      <c r="X27" s="405"/>
      <c r="Y27" s="51">
        <v>3</v>
      </c>
      <c r="Z27" s="51"/>
      <c r="AA27" s="692"/>
      <c r="AB27" s="226"/>
      <c r="AC27" s="543"/>
      <c r="AD27" s="157"/>
      <c r="AE27" s="516"/>
    </row>
    <row r="28" spans="1:31" ht="16.2" customHeight="1">
      <c r="A28" s="51">
        <v>3</v>
      </c>
      <c r="B28" s="51"/>
      <c r="C28" s="692"/>
      <c r="D28" s="226"/>
      <c r="E28" s="165"/>
      <c r="F28" s="157"/>
      <c r="G28" s="51">
        <v>3</v>
      </c>
      <c r="H28" s="51"/>
      <c r="I28" s="692"/>
      <c r="J28" s="226"/>
      <c r="K28" s="165"/>
      <c r="L28" s="157"/>
      <c r="M28" s="51">
        <v>3</v>
      </c>
      <c r="N28" s="51"/>
      <c r="O28" s="692"/>
      <c r="P28" s="226"/>
      <c r="Q28" s="165"/>
      <c r="R28" s="157"/>
      <c r="S28" s="51">
        <v>3</v>
      </c>
      <c r="T28" s="51"/>
      <c r="U28" s="692"/>
      <c r="V28" s="226"/>
      <c r="W28" s="165"/>
      <c r="X28" s="157"/>
      <c r="Y28" s="51">
        <v>3</v>
      </c>
      <c r="Z28" s="51"/>
      <c r="AA28" s="692"/>
      <c r="AB28" s="226"/>
      <c r="AC28" s="543"/>
      <c r="AD28" s="157"/>
      <c r="AE28" s="516"/>
    </row>
    <row r="29" spans="1:31" ht="16.2" customHeight="1">
      <c r="A29" s="51">
        <v>3</v>
      </c>
      <c r="B29" s="51"/>
      <c r="C29" s="512"/>
      <c r="D29" s="139"/>
      <c r="E29" s="137"/>
      <c r="F29" s="132"/>
      <c r="G29" s="51">
        <v>3</v>
      </c>
      <c r="H29" s="51"/>
      <c r="I29" s="512"/>
      <c r="J29" s="139"/>
      <c r="K29" s="137"/>
      <c r="L29" s="132"/>
      <c r="M29" s="51">
        <v>3</v>
      </c>
      <c r="N29" s="51"/>
      <c r="O29" s="512"/>
      <c r="P29" s="139"/>
      <c r="Q29" s="137"/>
      <c r="R29" s="132"/>
      <c r="S29" s="51">
        <v>3</v>
      </c>
      <c r="T29" s="51"/>
      <c r="U29" s="512"/>
      <c r="V29" s="139"/>
      <c r="W29" s="142"/>
      <c r="X29" s="132"/>
      <c r="Y29" s="51">
        <v>3</v>
      </c>
      <c r="Z29" s="51"/>
      <c r="AA29" s="512"/>
      <c r="AB29" s="139"/>
      <c r="AC29" s="515"/>
      <c r="AD29" s="132"/>
      <c r="AE29" s="516"/>
    </row>
    <row r="30" spans="1:31" ht="16.2" customHeight="1">
      <c r="A30" s="51">
        <v>3</v>
      </c>
      <c r="B30" s="51"/>
      <c r="C30" s="512"/>
      <c r="D30" s="139"/>
      <c r="E30" s="137"/>
      <c r="F30" s="132"/>
      <c r="G30" s="51">
        <v>3</v>
      </c>
      <c r="H30" s="51"/>
      <c r="I30" s="512"/>
      <c r="J30" s="139"/>
      <c r="K30" s="137"/>
      <c r="L30" s="132"/>
      <c r="M30" s="51">
        <v>3</v>
      </c>
      <c r="N30" s="51"/>
      <c r="O30" s="512"/>
      <c r="P30" s="139"/>
      <c r="Q30" s="137"/>
      <c r="R30" s="132"/>
      <c r="S30" s="51">
        <v>3</v>
      </c>
      <c r="T30" s="51"/>
      <c r="U30" s="512"/>
      <c r="V30" s="139"/>
      <c r="W30" s="142"/>
      <c r="X30" s="132"/>
      <c r="Y30" s="51">
        <v>3</v>
      </c>
      <c r="Z30" s="51"/>
      <c r="AA30" s="520"/>
      <c r="AB30" s="139"/>
      <c r="AC30" s="515"/>
      <c r="AD30" s="132"/>
      <c r="AE30" s="516"/>
    </row>
    <row r="31" spans="1:31" ht="16.2" customHeight="1" thickBot="1">
      <c r="A31" s="51">
        <v>3</v>
      </c>
      <c r="B31" s="51"/>
      <c r="C31" s="701"/>
      <c r="D31" s="209"/>
      <c r="E31" s="253"/>
      <c r="F31" s="134"/>
      <c r="G31" s="51">
        <v>3</v>
      </c>
      <c r="H31" s="51"/>
      <c r="I31" s="512"/>
      <c r="J31" s="139"/>
      <c r="K31" s="137"/>
      <c r="L31" s="132"/>
      <c r="M31" s="51">
        <v>3</v>
      </c>
      <c r="N31" s="51"/>
      <c r="O31" s="512"/>
      <c r="P31" s="139"/>
      <c r="Q31" s="137"/>
      <c r="R31" s="132"/>
      <c r="S31" s="51">
        <v>3</v>
      </c>
      <c r="T31" s="51"/>
      <c r="U31" s="512"/>
      <c r="V31" s="139"/>
      <c r="W31" s="142"/>
      <c r="X31" s="132"/>
      <c r="Y31" s="51">
        <v>3</v>
      </c>
      <c r="Z31" s="51"/>
      <c r="AA31" s="701"/>
      <c r="AB31" s="139"/>
      <c r="AC31" s="515"/>
      <c r="AD31" s="132"/>
      <c r="AE31" s="516"/>
    </row>
    <row r="32" spans="1:31" ht="16.2" customHeight="1" thickTop="1">
      <c r="A32" s="51">
        <v>4</v>
      </c>
      <c r="B32" s="51"/>
      <c r="C32" s="523" t="s">
        <v>273</v>
      </c>
      <c r="D32" s="27">
        <f>SUM(D23:D31)</f>
        <v>2300</v>
      </c>
      <c r="E32" s="28"/>
      <c r="F32" s="75">
        <f>SUM(F23:F31)</f>
        <v>0</v>
      </c>
      <c r="G32" s="51">
        <v>4</v>
      </c>
      <c r="H32" s="51"/>
      <c r="I32" s="523" t="s">
        <v>273</v>
      </c>
      <c r="J32" s="27">
        <f>SUM(J23:J31)</f>
        <v>4250</v>
      </c>
      <c r="K32" s="28"/>
      <c r="L32" s="75">
        <f>SUM(L23:L31)</f>
        <v>0</v>
      </c>
      <c r="M32" s="51">
        <v>4</v>
      </c>
      <c r="N32" s="51"/>
      <c r="O32" s="523" t="s">
        <v>273</v>
      </c>
      <c r="P32" s="27">
        <f>SUM(P23:P31)</f>
        <v>3950</v>
      </c>
      <c r="Q32" s="28"/>
      <c r="R32" s="75">
        <f>SUM(R23:R31)</f>
        <v>0</v>
      </c>
      <c r="S32" s="51">
        <v>4</v>
      </c>
      <c r="T32" s="51"/>
      <c r="U32" s="523" t="s">
        <v>273</v>
      </c>
      <c r="V32" s="27">
        <f>SUM(V23:V31)</f>
        <v>5800</v>
      </c>
      <c r="W32" s="28"/>
      <c r="X32" s="75">
        <f>SUM(X23:X31)</f>
        <v>0</v>
      </c>
      <c r="Y32" s="51">
        <v>4</v>
      </c>
      <c r="Z32" s="51"/>
      <c r="AA32" s="523" t="s">
        <v>273</v>
      </c>
      <c r="AB32" s="27">
        <f>SUM(AB23:AB31)</f>
        <v>0</v>
      </c>
      <c r="AC32" s="522"/>
      <c r="AD32" s="75">
        <f>SUM(AD23:AD31)</f>
        <v>0</v>
      </c>
      <c r="AE32" s="524">
        <f>D32+J32+P32+V32+AB32</f>
        <v>16300</v>
      </c>
    </row>
    <row r="33" spans="1:31" ht="16.2" customHeight="1">
      <c r="A33" s="51">
        <v>9</v>
      </c>
      <c r="B33" s="51"/>
      <c r="C33" s="46"/>
      <c r="F33" s="224"/>
      <c r="G33" s="51">
        <v>9</v>
      </c>
      <c r="H33" s="51"/>
      <c r="I33" s="489"/>
      <c r="J33" s="489"/>
      <c r="K33" s="217"/>
      <c r="L33" s="224"/>
      <c r="M33" s="51">
        <v>9</v>
      </c>
      <c r="N33" s="51"/>
      <c r="O33" s="489"/>
      <c r="P33" s="489"/>
      <c r="Q33" s="217"/>
      <c r="R33" s="489"/>
      <c r="S33" s="51">
        <v>9</v>
      </c>
      <c r="T33" s="51"/>
      <c r="U33" s="489"/>
      <c r="V33" s="489"/>
      <c r="W33" s="217"/>
      <c r="X33" s="489"/>
      <c r="Y33" s="51">
        <v>9</v>
      </c>
      <c r="Z33" s="51"/>
      <c r="AA33" s="489"/>
      <c r="AB33" s="217"/>
      <c r="AD33" s="610" t="s">
        <v>412</v>
      </c>
      <c r="AE33" s="251">
        <f>A大阪市鶴見区折込部数+M大阪市鶴見区折込部数+S大阪市鶴見区折込部数+Y大阪市鶴見区折込部数+AD32</f>
        <v>0</v>
      </c>
    </row>
    <row r="34" spans="1:31" ht="16.2" customHeight="1">
      <c r="C34" s="489"/>
      <c r="D34" s="489"/>
      <c r="E34" s="217"/>
      <c r="F34" s="224"/>
      <c r="G34" s="224"/>
      <c r="H34" s="224"/>
      <c r="I34" s="489"/>
      <c r="J34" s="489"/>
      <c r="K34" s="217"/>
      <c r="L34" s="224"/>
      <c r="M34" s="224"/>
      <c r="N34" s="224"/>
      <c r="O34" s="489"/>
      <c r="P34" s="489"/>
      <c r="Q34" s="217"/>
      <c r="R34" s="224"/>
      <c r="S34" s="224"/>
      <c r="T34" s="224"/>
      <c r="U34" s="537"/>
      <c r="V34" s="489"/>
      <c r="W34" s="217"/>
      <c r="X34" s="224"/>
      <c r="Y34" s="224"/>
      <c r="Z34" s="224"/>
      <c r="AA34" s="489"/>
      <c r="AB34" s="489"/>
      <c r="AC34" s="489"/>
      <c r="AD34" s="489"/>
      <c r="AE34" s="489"/>
    </row>
    <row r="35" spans="1:31" ht="16.2" customHeight="1">
      <c r="C35" s="489"/>
      <c r="D35" s="489"/>
      <c r="E35" s="217"/>
      <c r="F35" s="224"/>
      <c r="G35" s="224"/>
      <c r="H35" s="224"/>
      <c r="I35" s="489"/>
      <c r="J35" s="489"/>
      <c r="K35" s="217"/>
      <c r="L35" s="224"/>
      <c r="M35" s="224"/>
      <c r="N35" s="224"/>
      <c r="O35" s="489"/>
      <c r="P35" s="489"/>
      <c r="Q35" s="217"/>
      <c r="R35" s="224"/>
      <c r="S35" s="224"/>
      <c r="T35" s="224"/>
      <c r="U35" s="537"/>
      <c r="V35" s="489"/>
      <c r="W35" s="217"/>
      <c r="X35" s="224"/>
      <c r="Y35" s="224"/>
      <c r="Z35" s="224"/>
      <c r="AA35" s="489"/>
      <c r="AB35" s="489"/>
      <c r="AC35" s="489"/>
      <c r="AD35" s="489"/>
      <c r="AE35" s="489"/>
    </row>
    <row r="36" spans="1:31" ht="16.2" customHeight="1">
      <c r="C36" s="489"/>
      <c r="D36" s="489"/>
      <c r="E36" s="217"/>
      <c r="F36" s="224"/>
      <c r="G36" s="224"/>
      <c r="H36" s="224"/>
      <c r="I36" s="489"/>
      <c r="J36" s="489"/>
      <c r="K36" s="217"/>
      <c r="L36" s="224"/>
      <c r="M36" s="224"/>
      <c r="N36" s="224"/>
      <c r="O36" s="489"/>
      <c r="P36" s="489"/>
      <c r="Q36" s="217"/>
      <c r="R36" s="224"/>
      <c r="S36" s="224"/>
      <c r="T36" s="224"/>
      <c r="U36" s="537"/>
      <c r="V36" s="489"/>
      <c r="W36" s="217"/>
      <c r="X36" s="224"/>
      <c r="Y36" s="224"/>
      <c r="Z36" s="224"/>
      <c r="AA36" s="489"/>
      <c r="AB36" s="489"/>
      <c r="AC36" s="489"/>
      <c r="AD36" s="489"/>
      <c r="AE36" s="489"/>
    </row>
    <row r="37" spans="1:31" ht="16.2" customHeight="1">
      <c r="C37" s="489"/>
      <c r="D37" s="489"/>
      <c r="E37" s="217"/>
      <c r="F37" s="224"/>
      <c r="G37" s="224"/>
      <c r="H37" s="224"/>
      <c r="I37" s="489"/>
      <c r="J37" s="489"/>
      <c r="K37" s="217"/>
      <c r="L37" s="224"/>
      <c r="M37" s="224"/>
      <c r="N37" s="224"/>
      <c r="O37" s="489"/>
      <c r="P37" s="489"/>
      <c r="Q37" s="217"/>
      <c r="R37" s="224"/>
      <c r="S37" s="224"/>
      <c r="T37" s="224"/>
      <c r="U37" s="537"/>
      <c r="V37" s="489"/>
      <c r="W37" s="217"/>
      <c r="X37" s="224"/>
      <c r="Y37" s="224"/>
      <c r="Z37" s="224"/>
      <c r="AA37" s="489"/>
      <c r="AB37" s="489"/>
      <c r="AC37" s="489"/>
      <c r="AD37" s="489"/>
      <c r="AE37" s="489"/>
    </row>
    <row r="38" spans="1:31" ht="16.2" customHeight="1">
      <c r="C38" s="489"/>
      <c r="D38" s="489"/>
      <c r="E38" s="217"/>
      <c r="F38" s="224"/>
      <c r="G38" s="224"/>
      <c r="H38" s="224"/>
      <c r="I38" s="489"/>
      <c r="J38" s="489"/>
      <c r="K38" s="217"/>
      <c r="L38" s="224"/>
      <c r="M38" s="224"/>
      <c r="N38" s="224"/>
      <c r="O38" s="489"/>
      <c r="P38" s="489"/>
      <c r="Q38" s="217"/>
      <c r="R38" s="224"/>
      <c r="S38" s="224"/>
      <c r="T38" s="224"/>
      <c r="U38" s="537"/>
      <c r="V38" s="489"/>
      <c r="W38" s="217"/>
      <c r="X38" s="224"/>
      <c r="Y38" s="224"/>
      <c r="Z38" s="224"/>
      <c r="AA38" s="489"/>
      <c r="AB38" s="489"/>
      <c r="AC38" s="489"/>
      <c r="AD38" s="489"/>
      <c r="AE38" s="489"/>
    </row>
    <row r="39" spans="1:31" ht="16.2" customHeight="1">
      <c r="C39" s="489"/>
      <c r="D39" s="489"/>
      <c r="E39" s="217"/>
      <c r="F39" s="224"/>
      <c r="G39" s="224"/>
      <c r="H39" s="224"/>
      <c r="I39" s="489"/>
      <c r="J39" s="489"/>
      <c r="K39" s="217"/>
      <c r="L39" s="224"/>
      <c r="M39" s="224"/>
      <c r="N39" s="224"/>
      <c r="O39" s="489"/>
      <c r="P39" s="489"/>
      <c r="Q39" s="217"/>
      <c r="R39" s="224"/>
      <c r="S39" s="224"/>
      <c r="T39" s="224"/>
      <c r="U39" s="537"/>
      <c r="V39" s="489"/>
      <c r="W39" s="217"/>
      <c r="X39" s="224"/>
      <c r="Y39" s="224"/>
      <c r="Z39" s="224"/>
      <c r="AA39" s="489"/>
      <c r="AB39" s="489"/>
      <c r="AC39" s="489"/>
      <c r="AD39" s="489"/>
      <c r="AE39" s="489"/>
    </row>
    <row r="40" spans="1:31" ht="16.2" customHeight="1">
      <c r="C40" s="489"/>
      <c r="D40" s="489"/>
      <c r="E40" s="217"/>
      <c r="F40" s="224"/>
      <c r="G40" s="224"/>
      <c r="H40" s="224"/>
      <c r="I40" s="489"/>
      <c r="J40" s="489"/>
      <c r="K40" s="217"/>
      <c r="L40" s="224"/>
      <c r="M40" s="224"/>
      <c r="N40" s="224"/>
      <c r="O40" s="489"/>
      <c r="P40" s="489"/>
      <c r="Q40" s="217"/>
      <c r="R40" s="224"/>
      <c r="S40" s="224"/>
      <c r="T40" s="224"/>
      <c r="U40" s="537"/>
      <c r="V40" s="489"/>
      <c r="W40" s="217"/>
      <c r="X40" s="224"/>
      <c r="Y40" s="224"/>
      <c r="Z40" s="224"/>
      <c r="AA40" s="489"/>
      <c r="AB40" s="489"/>
      <c r="AC40" s="489"/>
      <c r="AD40" s="489"/>
      <c r="AE40" s="489"/>
    </row>
    <row r="41" spans="1:31" ht="16.2" customHeight="1">
      <c r="C41" s="489"/>
      <c r="D41" s="489"/>
      <c r="E41" s="217"/>
      <c r="F41" s="224"/>
      <c r="G41" s="224"/>
      <c r="H41" s="224"/>
      <c r="I41" s="489"/>
      <c r="J41" s="489"/>
      <c r="K41" s="217"/>
      <c r="L41" s="224"/>
      <c r="M41" s="224"/>
      <c r="N41" s="224"/>
      <c r="O41" s="489"/>
      <c r="P41" s="489"/>
      <c r="Q41" s="217"/>
      <c r="R41" s="224"/>
      <c r="S41" s="224"/>
      <c r="T41" s="224"/>
      <c r="U41" s="537"/>
      <c r="V41" s="489"/>
      <c r="W41" s="217"/>
      <c r="X41" s="224"/>
      <c r="Y41" s="224"/>
      <c r="Z41" s="224"/>
      <c r="AA41" s="489"/>
      <c r="AB41" s="489"/>
      <c r="AC41" s="489"/>
      <c r="AD41" s="489"/>
      <c r="AE41" s="489"/>
    </row>
    <row r="42" spans="1:31" ht="16.2" customHeight="1">
      <c r="C42" s="489"/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17"/>
      <c r="R42" s="224"/>
      <c r="S42" s="224"/>
      <c r="T42" s="224"/>
      <c r="U42" s="537"/>
      <c r="V42" s="489"/>
      <c r="W42" s="217"/>
      <c r="X42" s="224"/>
      <c r="Y42" s="224"/>
      <c r="Z42" s="224"/>
      <c r="AA42" s="489"/>
      <c r="AB42" s="489"/>
      <c r="AC42" s="489"/>
      <c r="AD42" s="489"/>
      <c r="AE42" s="489"/>
    </row>
    <row r="43" spans="1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17"/>
      <c r="R43" s="224"/>
      <c r="S43" s="224"/>
      <c r="T43" s="224"/>
      <c r="U43" s="537"/>
      <c r="V43" s="489"/>
      <c r="W43" s="217"/>
      <c r="X43" s="224"/>
      <c r="Y43" s="224"/>
      <c r="Z43" s="224"/>
      <c r="AA43" s="489"/>
      <c r="AB43" s="489"/>
      <c r="AC43" s="489"/>
      <c r="AD43" s="489"/>
      <c r="AE43" s="489"/>
    </row>
    <row r="44" spans="1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17"/>
      <c r="R44" s="224"/>
      <c r="S44" s="224"/>
      <c r="T44" s="224"/>
      <c r="U44" s="537"/>
      <c r="V44" s="489"/>
      <c r="W44" s="217"/>
      <c r="X44" s="224"/>
      <c r="Y44" s="224"/>
      <c r="Z44" s="224"/>
      <c r="AA44" s="489"/>
      <c r="AB44" s="489"/>
      <c r="AC44" s="489"/>
      <c r="AD44" s="489"/>
      <c r="AE44" s="489"/>
    </row>
    <row r="45" spans="1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17"/>
      <c r="R45" s="224"/>
      <c r="S45" s="224"/>
      <c r="T45" s="224"/>
      <c r="U45" s="537"/>
      <c r="V45" s="489"/>
      <c r="W45" s="217"/>
      <c r="X45" s="224"/>
      <c r="Y45" s="224"/>
      <c r="Z45" s="224"/>
      <c r="AA45" s="489"/>
      <c r="AB45" s="489"/>
      <c r="AC45" s="489"/>
      <c r="AD45" s="489"/>
      <c r="AE45" s="489"/>
    </row>
    <row r="46" spans="1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17"/>
      <c r="R46" s="224"/>
      <c r="S46" s="224"/>
      <c r="T46" s="224"/>
      <c r="U46" s="537"/>
      <c r="V46" s="489"/>
      <c r="W46" s="217"/>
      <c r="X46" s="224"/>
      <c r="Y46" s="224"/>
      <c r="Z46" s="224"/>
      <c r="AA46" s="489"/>
      <c r="AB46" s="489"/>
      <c r="AC46" s="489"/>
      <c r="AD46" s="489"/>
      <c r="AE46" s="489"/>
    </row>
    <row r="47" spans="1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17"/>
      <c r="R47" s="224"/>
      <c r="S47" s="224"/>
      <c r="T47" s="224"/>
      <c r="U47" s="537"/>
      <c r="V47" s="489"/>
      <c r="W47" s="217"/>
      <c r="X47" s="224"/>
      <c r="Y47" s="224"/>
      <c r="Z47" s="224"/>
      <c r="AA47" s="489"/>
      <c r="AB47" s="489"/>
      <c r="AC47" s="489"/>
      <c r="AD47" s="489"/>
      <c r="AE47" s="489"/>
    </row>
    <row r="48" spans="1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17"/>
      <c r="R48" s="224"/>
      <c r="S48" s="224"/>
      <c r="T48" s="224"/>
      <c r="U48" s="537"/>
      <c r="V48" s="489"/>
      <c r="W48" s="217"/>
      <c r="X48" s="224"/>
      <c r="Y48" s="224"/>
      <c r="Z48" s="224"/>
      <c r="AA48" s="489"/>
      <c r="AB48" s="489"/>
      <c r="AC48" s="489"/>
      <c r="AD48" s="489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17"/>
      <c r="R49" s="224"/>
      <c r="S49" s="224"/>
      <c r="T49" s="224"/>
      <c r="U49" s="537"/>
      <c r="V49" s="489"/>
      <c r="W49" s="217"/>
      <c r="X49" s="224"/>
      <c r="Y49" s="224"/>
      <c r="Z49" s="224"/>
      <c r="AA49" s="489"/>
      <c r="AB49" s="489"/>
      <c r="AC49" s="489"/>
      <c r="AD49" s="489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17"/>
      <c r="R50" s="224"/>
      <c r="S50" s="224"/>
      <c r="T50" s="224"/>
      <c r="U50" s="537"/>
      <c r="V50" s="489"/>
      <c r="W50" s="217"/>
      <c r="X50" s="224"/>
      <c r="Y50" s="224"/>
      <c r="Z50" s="224"/>
      <c r="AA50" s="489"/>
      <c r="AB50" s="489"/>
      <c r="AC50" s="489"/>
      <c r="AD50" s="489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17"/>
      <c r="R51" s="224"/>
      <c r="S51" s="224"/>
      <c r="T51" s="224"/>
      <c r="U51" s="537"/>
      <c r="V51" s="489"/>
      <c r="W51" s="217"/>
      <c r="X51" s="224"/>
      <c r="Y51" s="224"/>
      <c r="Z51" s="224"/>
      <c r="AA51" s="489"/>
      <c r="AB51" s="489"/>
      <c r="AC51" s="489"/>
      <c r="AD51" s="489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17"/>
      <c r="R52" s="224"/>
      <c r="S52" s="224"/>
      <c r="T52" s="224"/>
      <c r="U52" s="537"/>
      <c r="V52" s="489"/>
      <c r="W52" s="217"/>
      <c r="X52" s="224"/>
      <c r="Y52" s="224"/>
      <c r="Z52" s="224"/>
      <c r="AA52" s="489"/>
      <c r="AB52" s="489"/>
      <c r="AC52" s="489"/>
      <c r="AD52" s="489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17"/>
      <c r="R53" s="224"/>
      <c r="S53" s="224"/>
      <c r="T53" s="224"/>
      <c r="U53" s="537"/>
      <c r="V53" s="489"/>
      <c r="W53" s="217"/>
      <c r="X53" s="224"/>
      <c r="Y53" s="224"/>
      <c r="Z53" s="224"/>
      <c r="AA53" s="489"/>
      <c r="AB53" s="489"/>
      <c r="AC53" s="489"/>
      <c r="AD53" s="489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17"/>
      <c r="R54" s="224"/>
      <c r="S54" s="224"/>
      <c r="T54" s="224"/>
      <c r="U54" s="537"/>
      <c r="V54" s="489"/>
      <c r="W54" s="217"/>
      <c r="X54" s="224"/>
      <c r="Y54" s="224"/>
      <c r="Z54" s="224"/>
      <c r="AA54" s="489"/>
      <c r="AB54" s="489"/>
      <c r="AC54" s="489"/>
      <c r="AD54" s="489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17"/>
      <c r="R55" s="224"/>
      <c r="S55" s="224"/>
      <c r="T55" s="224"/>
      <c r="U55" s="537"/>
      <c r="V55" s="489"/>
      <c r="W55" s="217"/>
      <c r="X55" s="224"/>
      <c r="Y55" s="224"/>
      <c r="Z55" s="224"/>
      <c r="AA55" s="489"/>
      <c r="AB55" s="489"/>
      <c r="AC55" s="489"/>
      <c r="AD55" s="489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17"/>
      <c r="R56" s="224"/>
      <c r="S56" s="224"/>
      <c r="T56" s="224"/>
      <c r="U56" s="537"/>
      <c r="V56" s="489"/>
      <c r="W56" s="217"/>
      <c r="X56" s="224"/>
      <c r="Y56" s="224"/>
      <c r="Z56" s="224"/>
      <c r="AA56" s="489"/>
      <c r="AB56" s="489"/>
      <c r="AC56" s="489"/>
      <c r="AD56" s="489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17"/>
      <c r="R57" s="224"/>
      <c r="S57" s="224"/>
      <c r="T57" s="224"/>
      <c r="U57" s="537"/>
      <c r="V57" s="489"/>
      <c r="W57" s="217"/>
      <c r="X57" s="224"/>
      <c r="Y57" s="224"/>
      <c r="Z57" s="224"/>
      <c r="AA57" s="489"/>
      <c r="AB57" s="489"/>
      <c r="AC57" s="489"/>
      <c r="AD57" s="489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17"/>
      <c r="R58" s="224"/>
      <c r="S58" s="224"/>
      <c r="T58" s="224"/>
      <c r="U58" s="537"/>
      <c r="V58" s="489"/>
      <c r="W58" s="217"/>
      <c r="X58" s="224"/>
      <c r="Y58" s="224"/>
      <c r="Z58" s="224"/>
      <c r="AA58" s="489"/>
      <c r="AB58" s="489"/>
      <c r="AC58" s="489"/>
      <c r="AD58" s="489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17"/>
      <c r="R59" s="224"/>
      <c r="S59" s="224"/>
      <c r="T59" s="224"/>
      <c r="U59" s="537"/>
      <c r="V59" s="489"/>
      <c r="W59" s="217"/>
      <c r="X59" s="224"/>
      <c r="Y59" s="224"/>
      <c r="Z59" s="224"/>
      <c r="AA59" s="489"/>
      <c r="AB59" s="489"/>
      <c r="AC59" s="489"/>
      <c r="AD59" s="489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17"/>
      <c r="R60" s="224"/>
      <c r="S60" s="224"/>
      <c r="T60" s="224"/>
      <c r="U60" s="537"/>
      <c r="V60" s="489"/>
      <c r="W60" s="217"/>
      <c r="X60" s="224"/>
      <c r="Y60" s="224"/>
      <c r="Z60" s="224"/>
      <c r="AA60" s="489"/>
      <c r="AB60" s="489"/>
      <c r="AC60" s="489"/>
      <c r="AD60" s="489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17"/>
      <c r="R61" s="224"/>
      <c r="S61" s="224"/>
      <c r="T61" s="224"/>
      <c r="U61" s="537"/>
      <c r="V61" s="489"/>
      <c r="W61" s="217"/>
      <c r="X61" s="224"/>
      <c r="Y61" s="224"/>
      <c r="Z61" s="224"/>
      <c r="AA61" s="489"/>
      <c r="AB61" s="489"/>
      <c r="AC61" s="489"/>
      <c r="AD61" s="489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17"/>
      <c r="R62" s="224"/>
      <c r="S62" s="224"/>
      <c r="T62" s="224"/>
      <c r="U62" s="537"/>
      <c r="V62" s="489"/>
      <c r="W62" s="217"/>
      <c r="X62" s="224"/>
      <c r="Y62" s="224"/>
      <c r="Z62" s="224"/>
      <c r="AA62" s="489"/>
      <c r="AB62" s="489"/>
      <c r="AC62" s="489"/>
      <c r="AD62" s="489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17"/>
      <c r="R63" s="224"/>
      <c r="S63" s="224"/>
      <c r="T63" s="224"/>
      <c r="U63" s="537"/>
      <c r="V63" s="489"/>
      <c r="W63" s="217"/>
      <c r="X63" s="224"/>
      <c r="Y63" s="224"/>
      <c r="Z63" s="224"/>
      <c r="AA63" s="489"/>
      <c r="AB63" s="489"/>
      <c r="AC63" s="489"/>
      <c r="AD63" s="489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17"/>
      <c r="R64" s="224"/>
      <c r="S64" s="224"/>
      <c r="T64" s="224"/>
      <c r="U64" s="537"/>
      <c r="V64" s="489"/>
      <c r="W64" s="217"/>
      <c r="X64" s="224"/>
      <c r="Y64" s="224"/>
      <c r="Z64" s="224"/>
      <c r="AA64" s="489"/>
      <c r="AB64" s="489"/>
      <c r="AC64" s="489"/>
      <c r="AD64" s="489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17"/>
      <c r="R65" s="224"/>
      <c r="S65" s="224"/>
      <c r="T65" s="224"/>
      <c r="U65" s="537"/>
      <c r="V65" s="489"/>
      <c r="W65" s="217"/>
      <c r="X65" s="224"/>
      <c r="Y65" s="224"/>
      <c r="Z65" s="224"/>
      <c r="AA65" s="489"/>
      <c r="AB65" s="489"/>
      <c r="AC65" s="489"/>
      <c r="AD65" s="489"/>
      <c r="AE65" s="489"/>
    </row>
  </sheetData>
  <sheetProtection formatCells="0"/>
  <mergeCells count="14">
    <mergeCell ref="AA7:AE8"/>
    <mergeCell ref="C2:F3"/>
    <mergeCell ref="AA10:AD10"/>
    <mergeCell ref="W5:X5"/>
    <mergeCell ref="D5:L6"/>
    <mergeCell ref="C10:F10"/>
    <mergeCell ref="I10:L10"/>
    <mergeCell ref="O10:R10"/>
    <mergeCell ref="U10:X10"/>
    <mergeCell ref="W7:X7"/>
    <mergeCell ref="D7:L8"/>
    <mergeCell ref="P5:V6"/>
    <mergeCell ref="P7:Q8"/>
    <mergeCell ref="AA5:AC6"/>
  </mergeCells>
  <phoneticPr fontId="2"/>
  <conditionalFormatting sqref="F13 X13:X18">
    <cfRule type="cellIs" dxfId="40" priority="2" operator="greaterThan">
      <formula>D13</formula>
    </cfRule>
  </conditionalFormatting>
  <conditionalFormatting sqref="F14:F16 L13:L17 R13:R16 R23:R25 L23:L26 F23:F25">
    <cfRule type="cellIs" dxfId="39" priority="1" operator="greaterThan">
      <formula>D13</formula>
    </cfRule>
  </conditionalFormatting>
  <conditionalFormatting sqref="X23:X27">
    <cfRule type="cellIs" dxfId="38" priority="26" operator="greaterThan">
      <formula>V23</formula>
    </cfRule>
  </conditionalFormatting>
  <hyperlinks>
    <hyperlink ref="C2:F3" location="提案表紙!A1" display="大阪府折込資料表" xr:uid="{00000000-0004-0000-0B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&amp;L城東区・鶴見区&amp;RP-8/34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B6D2F5"/>
    <pageSetUpPr fitToPage="1"/>
  </sheetPr>
  <dimension ref="A1:AE104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3320312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44140625" style="15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customWidth="1"/>
    <col min="25" max="26" width="8.6640625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77734375" bestFit="1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1361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W2" s="500"/>
      <c r="X2" s="500" t="s">
        <v>1313</v>
      </c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561</v>
      </c>
      <c r="K3"/>
      <c r="L3"/>
      <c r="M3"/>
      <c r="N3"/>
      <c r="Q3"/>
      <c r="R3"/>
      <c r="S3" s="51"/>
      <c r="T3"/>
      <c r="W3" s="500"/>
      <c r="X3" s="500" t="s">
        <v>1501</v>
      </c>
      <c r="AC3"/>
      <c r="AD3"/>
    </row>
    <row r="4" spans="1:31" ht="13.5" customHeight="1">
      <c r="C4" t="s">
        <v>317</v>
      </c>
      <c r="E4"/>
      <c r="F4"/>
      <c r="G4"/>
      <c r="H4"/>
      <c r="I4" s="187">
        <v>45717</v>
      </c>
      <c r="J4" s="186" t="s">
        <v>0</v>
      </c>
      <c r="K4" t="s">
        <v>272</v>
      </c>
      <c r="L4"/>
      <c r="M4"/>
      <c r="N4"/>
      <c r="Q4"/>
      <c r="R4"/>
      <c r="S4" s="51"/>
      <c r="T4"/>
      <c r="W4" s="500"/>
      <c r="X4" s="500" t="s">
        <v>1500</v>
      </c>
      <c r="AC4"/>
      <c r="AD4"/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298</v>
      </c>
      <c r="P7" s="827">
        <f>提案表紙!G9</f>
        <v>0</v>
      </c>
      <c r="Q7" s="828"/>
      <c r="R7" s="7" t="s">
        <v>249</v>
      </c>
      <c r="S7"/>
      <c r="T7"/>
      <c r="U7" s="410">
        <f>大阪市住吉区折込部数+大阪市東住吉区折込部数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250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W9"/>
      <c r="AC9"/>
      <c r="AD9"/>
    </row>
    <row r="10" spans="1:31" ht="16.2" customHeight="1">
      <c r="A10" s="51">
        <v>1</v>
      </c>
      <c r="B10" s="51">
        <v>2</v>
      </c>
      <c r="C10" s="818" t="s">
        <v>309</v>
      </c>
      <c r="D10" s="819"/>
      <c r="E10" s="819"/>
      <c r="F10" s="820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311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505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505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505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505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505" t="s">
        <v>231</v>
      </c>
      <c r="AE11" s="507" t="s">
        <v>308</v>
      </c>
    </row>
    <row r="12" spans="1:31" ht="16.2" customHeight="1">
      <c r="A12" s="51">
        <v>2</v>
      </c>
      <c r="B12" s="488" t="s">
        <v>1405</v>
      </c>
      <c r="C12" s="46" t="s">
        <v>909</v>
      </c>
      <c r="F12" s="224"/>
      <c r="G12" s="51">
        <v>2</v>
      </c>
      <c r="H12" s="488" t="s">
        <v>1405</v>
      </c>
      <c r="I12" s="489"/>
      <c r="J12" s="489"/>
      <c r="K12" s="217"/>
      <c r="L12" s="224"/>
      <c r="M12" s="51">
        <v>2</v>
      </c>
      <c r="N12" s="488" t="s">
        <v>1405</v>
      </c>
      <c r="O12" s="489"/>
      <c r="P12" s="489"/>
      <c r="Q12" s="217"/>
      <c r="R12" s="489"/>
      <c r="S12" s="51">
        <v>2</v>
      </c>
      <c r="T12" s="488" t="s">
        <v>1405</v>
      </c>
      <c r="U12" s="489"/>
      <c r="V12" s="489"/>
      <c r="W12" s="217"/>
      <c r="X12" s="489"/>
      <c r="Y12" s="51">
        <v>2</v>
      </c>
      <c r="Z12" s="488" t="s">
        <v>1405</v>
      </c>
      <c r="AA12" s="489"/>
      <c r="AB12" s="217"/>
      <c r="AC12"/>
      <c r="AD12" s="508"/>
      <c r="AE12" s="270"/>
    </row>
    <row r="13" spans="1:31" ht="16.2" customHeight="1">
      <c r="A13" s="51">
        <v>3</v>
      </c>
      <c r="B13" s="51">
        <v>72089</v>
      </c>
      <c r="C13" s="441" t="s">
        <v>1216</v>
      </c>
      <c r="D13" s="148">
        <v>2250</v>
      </c>
      <c r="E13" s="155"/>
      <c r="F13" s="404"/>
      <c r="G13" s="51">
        <v>3</v>
      </c>
      <c r="H13" s="51">
        <v>73107</v>
      </c>
      <c r="I13" s="441" t="s">
        <v>1044</v>
      </c>
      <c r="J13" s="354">
        <v>3000</v>
      </c>
      <c r="K13" s="136"/>
      <c r="L13" s="404"/>
      <c r="M13" s="51">
        <v>3</v>
      </c>
      <c r="N13" s="51">
        <v>75117</v>
      </c>
      <c r="O13" s="441" t="s">
        <v>598</v>
      </c>
      <c r="P13" s="148">
        <v>2000</v>
      </c>
      <c r="Q13" s="136"/>
      <c r="R13" s="404"/>
      <c r="S13" s="51">
        <v>3</v>
      </c>
      <c r="T13" s="51">
        <v>74131</v>
      </c>
      <c r="U13" s="441" t="s">
        <v>1045</v>
      </c>
      <c r="V13" s="148">
        <v>1950</v>
      </c>
      <c r="W13" s="155"/>
      <c r="X13" s="404"/>
      <c r="Y13" s="51">
        <v>3</v>
      </c>
      <c r="Z13" s="51"/>
      <c r="AA13" s="688"/>
      <c r="AB13" s="215"/>
      <c r="AC13" s="130"/>
      <c r="AD13" s="158"/>
      <c r="AE13" s="513"/>
    </row>
    <row r="14" spans="1:31" ht="16.2" customHeight="1">
      <c r="A14" s="51">
        <v>3</v>
      </c>
      <c r="B14" s="51">
        <v>72091</v>
      </c>
      <c r="C14" s="698" t="s">
        <v>1043</v>
      </c>
      <c r="D14" s="353">
        <v>1200</v>
      </c>
      <c r="E14" s="137"/>
      <c r="F14" s="396"/>
      <c r="G14" s="51">
        <v>3</v>
      </c>
      <c r="H14" s="51">
        <v>73109</v>
      </c>
      <c r="I14" s="386" t="s">
        <v>1043</v>
      </c>
      <c r="J14" s="355">
        <v>1700</v>
      </c>
      <c r="K14" s="137"/>
      <c r="L14" s="405"/>
      <c r="M14" s="51">
        <v>3</v>
      </c>
      <c r="N14" s="51">
        <v>75119</v>
      </c>
      <c r="O14" s="386" t="s">
        <v>1043</v>
      </c>
      <c r="P14" s="143">
        <v>900</v>
      </c>
      <c r="Q14" s="137"/>
      <c r="R14" s="405"/>
      <c r="S14" s="51">
        <v>3</v>
      </c>
      <c r="T14" s="51">
        <v>74133</v>
      </c>
      <c r="U14" s="386" t="s">
        <v>600</v>
      </c>
      <c r="V14" s="143">
        <v>1350</v>
      </c>
      <c r="W14" s="142"/>
      <c r="X14" s="405"/>
      <c r="Y14" s="51">
        <v>3</v>
      </c>
      <c r="Z14" s="51"/>
      <c r="AA14" s="561"/>
      <c r="AB14" s="139"/>
      <c r="AC14" s="131"/>
      <c r="AD14" s="550"/>
      <c r="AE14" s="516"/>
    </row>
    <row r="15" spans="1:31" ht="16.2" customHeight="1">
      <c r="A15" s="51">
        <v>3</v>
      </c>
      <c r="B15" s="51">
        <v>72093</v>
      </c>
      <c r="C15" s="698" t="s">
        <v>1044</v>
      </c>
      <c r="D15" s="353">
        <v>1150</v>
      </c>
      <c r="E15" s="138"/>
      <c r="F15" s="405"/>
      <c r="G15" s="51">
        <v>3</v>
      </c>
      <c r="H15" s="51">
        <v>73111</v>
      </c>
      <c r="I15" s="698" t="s">
        <v>1284</v>
      </c>
      <c r="J15" s="355">
        <v>1000</v>
      </c>
      <c r="K15" s="138"/>
      <c r="L15" s="405"/>
      <c r="M15" s="51">
        <v>3</v>
      </c>
      <c r="N15" s="51">
        <v>75121</v>
      </c>
      <c r="O15" s="386" t="s">
        <v>599</v>
      </c>
      <c r="P15" s="353">
        <v>1700</v>
      </c>
      <c r="Q15" s="138"/>
      <c r="R15" s="405"/>
      <c r="S15" s="51">
        <v>3</v>
      </c>
      <c r="T15" s="51">
        <v>74135</v>
      </c>
      <c r="U15" s="386" t="s">
        <v>601</v>
      </c>
      <c r="V15" s="143">
        <v>2400</v>
      </c>
      <c r="W15" s="166"/>
      <c r="X15" s="405"/>
      <c r="Y15" s="51">
        <v>3</v>
      </c>
      <c r="Z15" s="51"/>
      <c r="AA15" s="699"/>
      <c r="AB15" s="208"/>
      <c r="AC15" s="135"/>
      <c r="AD15" s="562"/>
      <c r="AE15" s="516"/>
    </row>
    <row r="16" spans="1:31" ht="16.2" customHeight="1">
      <c r="A16" s="51">
        <v>3</v>
      </c>
      <c r="B16" s="51">
        <v>72095</v>
      </c>
      <c r="C16" s="698" t="s">
        <v>1045</v>
      </c>
      <c r="D16" s="353">
        <v>900</v>
      </c>
      <c r="E16" s="138"/>
      <c r="F16" s="405"/>
      <c r="G16" s="51">
        <v>3</v>
      </c>
      <c r="H16" s="51">
        <v>73113</v>
      </c>
      <c r="I16" s="386" t="s">
        <v>1257</v>
      </c>
      <c r="J16" s="143">
        <v>1550</v>
      </c>
      <c r="K16" s="138"/>
      <c r="L16" s="405"/>
      <c r="M16" s="51">
        <v>3</v>
      </c>
      <c r="N16" s="51"/>
      <c r="O16" s="512"/>
      <c r="P16" s="208"/>
      <c r="Q16" s="138"/>
      <c r="R16" s="133"/>
      <c r="S16" s="51">
        <v>3</v>
      </c>
      <c r="T16" s="51">
        <v>74137</v>
      </c>
      <c r="U16" s="386" t="s">
        <v>1044</v>
      </c>
      <c r="V16" s="446" t="s">
        <v>1609</v>
      </c>
      <c r="W16" s="166"/>
      <c r="X16" s="405"/>
      <c r="Y16" s="51">
        <v>3</v>
      </c>
      <c r="Z16" s="51"/>
      <c r="AA16" s="699"/>
      <c r="AB16" s="208"/>
      <c r="AC16" s="135"/>
      <c r="AD16" s="562"/>
      <c r="AE16" s="516"/>
    </row>
    <row r="17" spans="1:31" ht="15.75" customHeight="1">
      <c r="A17" s="51">
        <v>3</v>
      </c>
      <c r="B17" s="51"/>
      <c r="C17" s="698"/>
      <c r="D17" s="496"/>
      <c r="E17" s="138"/>
      <c r="F17" s="405"/>
      <c r="G17" s="51">
        <v>3</v>
      </c>
      <c r="H17" s="51"/>
      <c r="I17" s="386"/>
      <c r="J17" s="143"/>
      <c r="K17" s="138"/>
      <c r="L17" s="133"/>
      <c r="M17" s="51">
        <v>3</v>
      </c>
      <c r="N17" s="51"/>
      <c r="O17" s="561"/>
      <c r="P17" s="208"/>
      <c r="Q17" s="138"/>
      <c r="R17" s="401"/>
      <c r="S17" s="51">
        <v>3</v>
      </c>
      <c r="T17" s="51">
        <v>74139</v>
      </c>
      <c r="U17" s="386" t="s">
        <v>1229</v>
      </c>
      <c r="V17" s="143">
        <v>1400</v>
      </c>
      <c r="W17" s="166"/>
      <c r="X17" s="405"/>
      <c r="Y17" s="51">
        <v>3</v>
      </c>
      <c r="Z17" s="51"/>
      <c r="AA17" s="699"/>
      <c r="AB17" s="208"/>
      <c r="AC17" s="135"/>
      <c r="AD17" s="562"/>
      <c r="AE17" s="516"/>
    </row>
    <row r="18" spans="1:31" ht="16.2" customHeight="1">
      <c r="A18" s="51">
        <v>3</v>
      </c>
      <c r="B18" s="51"/>
      <c r="C18" s="698"/>
      <c r="D18" s="353"/>
      <c r="E18" s="138"/>
      <c r="F18" s="405"/>
      <c r="G18" s="51">
        <v>3</v>
      </c>
      <c r="H18" s="51"/>
      <c r="I18" s="512"/>
      <c r="J18" s="348"/>
      <c r="K18" s="138"/>
      <c r="L18" s="133"/>
      <c r="M18" s="51">
        <v>3</v>
      </c>
      <c r="N18" s="51"/>
      <c r="O18" s="699"/>
      <c r="P18" s="208"/>
      <c r="Q18" s="138"/>
      <c r="R18" s="401"/>
      <c r="S18" s="51">
        <v>3</v>
      </c>
      <c r="T18" s="51"/>
      <c r="U18" s="386"/>
      <c r="V18" s="143"/>
      <c r="W18" s="166"/>
      <c r="X18" s="133"/>
      <c r="Y18" s="51">
        <v>3</v>
      </c>
      <c r="Z18" s="51"/>
      <c r="AA18" s="699"/>
      <c r="AB18" s="208"/>
      <c r="AC18" s="135"/>
      <c r="AD18" s="562"/>
      <c r="AE18" s="516"/>
    </row>
    <row r="19" spans="1:31" ht="16.2" customHeight="1" thickBot="1">
      <c r="A19" s="51">
        <v>3</v>
      </c>
      <c r="B19" s="51"/>
      <c r="C19" s="520"/>
      <c r="D19" s="208"/>
      <c r="E19" s="138"/>
      <c r="F19" s="133"/>
      <c r="G19" s="51">
        <v>3</v>
      </c>
      <c r="H19" s="51"/>
      <c r="I19" s="731"/>
      <c r="J19" s="332"/>
      <c r="K19" s="138"/>
      <c r="L19" s="401"/>
      <c r="M19" s="51">
        <v>3</v>
      </c>
      <c r="N19" s="51"/>
      <c r="O19" s="699"/>
      <c r="P19" s="208"/>
      <c r="Q19" s="138"/>
      <c r="R19" s="401"/>
      <c r="S19" s="51">
        <v>3</v>
      </c>
      <c r="T19" s="51"/>
      <c r="U19" s="512"/>
      <c r="V19" s="139"/>
      <c r="W19" s="138"/>
      <c r="X19" s="133"/>
      <c r="Y19" s="51">
        <v>3</v>
      </c>
      <c r="Z19" s="51"/>
      <c r="AA19" s="699"/>
      <c r="AB19" s="208"/>
      <c r="AC19" s="135"/>
      <c r="AD19" s="562"/>
      <c r="AE19" s="516"/>
    </row>
    <row r="20" spans="1:31" ht="16.2" customHeight="1" thickTop="1">
      <c r="A20" s="51">
        <v>4</v>
      </c>
      <c r="B20" s="51"/>
      <c r="C20" s="523" t="s">
        <v>271</v>
      </c>
      <c r="D20" s="27">
        <f>SUM(D13:D19)</f>
        <v>5500</v>
      </c>
      <c r="E20" s="28"/>
      <c r="F20" s="75">
        <f>SUM(F13:F19)</f>
        <v>0</v>
      </c>
      <c r="G20" s="51">
        <v>4</v>
      </c>
      <c r="H20" s="51"/>
      <c r="I20" s="523" t="s">
        <v>692</v>
      </c>
      <c r="J20" s="333">
        <f>SUM(J13:J19)</f>
        <v>7250</v>
      </c>
      <c r="K20" s="28"/>
      <c r="L20" s="75">
        <f>SUM(L13:L19)</f>
        <v>0</v>
      </c>
      <c r="M20" s="51">
        <v>4</v>
      </c>
      <c r="N20" s="51"/>
      <c r="O20" s="523" t="s">
        <v>692</v>
      </c>
      <c r="P20" s="27">
        <f>SUM(P13:P19)</f>
        <v>4600</v>
      </c>
      <c r="Q20" s="28"/>
      <c r="R20" s="75">
        <f>SUM(R13:R19)</f>
        <v>0</v>
      </c>
      <c r="S20" s="51">
        <v>4</v>
      </c>
      <c r="T20" s="51"/>
      <c r="U20" s="523" t="s">
        <v>271</v>
      </c>
      <c r="V20" s="27">
        <f>SUM(V13:V19)</f>
        <v>7100</v>
      </c>
      <c r="W20" s="28"/>
      <c r="X20" s="75">
        <f>SUM(X13:X19)</f>
        <v>0</v>
      </c>
      <c r="Y20" s="51">
        <v>4</v>
      </c>
      <c r="Z20" s="51"/>
      <c r="AA20" s="523" t="s">
        <v>273</v>
      </c>
      <c r="AB20" s="27">
        <f>SUM(AB13:AB19)</f>
        <v>0</v>
      </c>
      <c r="AC20" s="25"/>
      <c r="AD20" s="689">
        <f>SUM(AD13:AD19)</f>
        <v>0</v>
      </c>
      <c r="AE20" s="524">
        <f>D20+J20+P20+V20+AB20</f>
        <v>24450</v>
      </c>
    </row>
    <row r="21" spans="1:31" ht="16.2" customHeight="1">
      <c r="A21" s="51"/>
      <c r="B21" s="51"/>
      <c r="C21" s="46"/>
      <c r="D21" s="21"/>
      <c r="F21" s="224"/>
      <c r="G21" s="51"/>
      <c r="H21" s="51"/>
      <c r="I21" s="489"/>
      <c r="J21" s="213"/>
      <c r="K21" s="217"/>
      <c r="L21" s="224"/>
      <c r="M21" s="51"/>
      <c r="N21" s="51"/>
      <c r="O21" s="489"/>
      <c r="P21" s="213"/>
      <c r="Q21" s="217"/>
      <c r="R21" s="224"/>
      <c r="S21" s="51"/>
      <c r="T21" s="51"/>
      <c r="U21" s="489"/>
      <c r="V21" s="213"/>
      <c r="W21" s="217"/>
      <c r="X21" s="489"/>
      <c r="Y21" s="51"/>
      <c r="Z21" s="51"/>
      <c r="AA21" s="489"/>
      <c r="AB21" s="213"/>
      <c r="AD21" s="527" t="s">
        <v>412</v>
      </c>
      <c r="AE21" s="93">
        <f>A大阪市住吉区折込部数+M大阪市住吉区折込部数+S大阪市住吉区折込部数+Y大阪市住吉区折込部数+AD20</f>
        <v>0</v>
      </c>
    </row>
    <row r="22" spans="1:31" ht="16.2" customHeight="1">
      <c r="A22" s="51">
        <v>2</v>
      </c>
      <c r="B22" s="488" t="s">
        <v>1406</v>
      </c>
      <c r="C22" s="46" t="s">
        <v>842</v>
      </c>
      <c r="G22" s="51">
        <v>2</v>
      </c>
      <c r="H22" s="488" t="s">
        <v>1406</v>
      </c>
      <c r="M22" s="51">
        <v>2</v>
      </c>
      <c r="N22" s="488" t="s">
        <v>1406</v>
      </c>
      <c r="R22"/>
      <c r="S22" s="51">
        <v>2</v>
      </c>
      <c r="T22" s="488" t="s">
        <v>1406</v>
      </c>
      <c r="Y22" s="51">
        <v>2</v>
      </c>
      <c r="Z22" s="488" t="s">
        <v>1406</v>
      </c>
      <c r="AB22" s="15"/>
      <c r="AC22"/>
      <c r="AD22"/>
    </row>
    <row r="23" spans="1:31" ht="16.2" customHeight="1">
      <c r="A23" s="51">
        <v>3</v>
      </c>
      <c r="B23" s="51">
        <v>72099</v>
      </c>
      <c r="C23" s="441" t="s">
        <v>1117</v>
      </c>
      <c r="D23" s="148">
        <v>2650</v>
      </c>
      <c r="E23" s="162"/>
      <c r="F23" s="404"/>
      <c r="G23" s="51">
        <v>3</v>
      </c>
      <c r="H23" s="51">
        <v>73115</v>
      </c>
      <c r="I23" s="441" t="s">
        <v>844</v>
      </c>
      <c r="J23" s="148">
        <v>1600</v>
      </c>
      <c r="K23" s="177"/>
      <c r="L23" s="404"/>
      <c r="M23" s="51">
        <v>3</v>
      </c>
      <c r="N23" s="51">
        <v>75123</v>
      </c>
      <c r="O23" s="441" t="s">
        <v>847</v>
      </c>
      <c r="P23" s="148">
        <v>1000</v>
      </c>
      <c r="Q23" s="177"/>
      <c r="R23" s="404"/>
      <c r="S23" s="51">
        <v>3</v>
      </c>
      <c r="T23" s="51">
        <v>74141</v>
      </c>
      <c r="U23" s="441" t="s">
        <v>1239</v>
      </c>
      <c r="V23" s="148">
        <v>400</v>
      </c>
      <c r="W23" s="177"/>
      <c r="X23" s="404"/>
      <c r="Y23" s="51">
        <v>3</v>
      </c>
      <c r="Z23" s="51"/>
      <c r="AA23" s="703"/>
      <c r="AB23" s="215"/>
      <c r="AC23" s="136"/>
      <c r="AD23" s="129"/>
      <c r="AE23" s="704"/>
    </row>
    <row r="24" spans="1:31" ht="16.2" customHeight="1">
      <c r="A24" s="51">
        <v>3</v>
      </c>
      <c r="B24" s="51">
        <v>72101</v>
      </c>
      <c r="C24" s="386" t="s">
        <v>1099</v>
      </c>
      <c r="D24" s="143">
        <v>1300</v>
      </c>
      <c r="E24" s="146"/>
      <c r="F24" s="405"/>
      <c r="G24" s="51">
        <v>3</v>
      </c>
      <c r="H24" s="51">
        <v>73117</v>
      </c>
      <c r="I24" s="386" t="s">
        <v>845</v>
      </c>
      <c r="J24" s="143">
        <v>1000</v>
      </c>
      <c r="K24" s="137"/>
      <c r="L24" s="405"/>
      <c r="M24" s="51">
        <v>3</v>
      </c>
      <c r="N24" s="51">
        <v>75125</v>
      </c>
      <c r="O24" s="386" t="s">
        <v>844</v>
      </c>
      <c r="P24" s="143">
        <v>1950</v>
      </c>
      <c r="Q24" s="137"/>
      <c r="R24" s="405"/>
      <c r="S24" s="51">
        <v>3</v>
      </c>
      <c r="T24" s="51">
        <v>74143</v>
      </c>
      <c r="U24" s="386" t="s">
        <v>849</v>
      </c>
      <c r="V24" s="143">
        <v>2050</v>
      </c>
      <c r="W24" s="146"/>
      <c r="X24" s="405"/>
      <c r="Y24" s="51">
        <v>3</v>
      </c>
      <c r="Z24" s="51"/>
      <c r="AA24" s="512"/>
      <c r="AB24" s="139"/>
      <c r="AC24" s="137"/>
      <c r="AD24" s="132"/>
      <c r="AE24" s="706"/>
    </row>
    <row r="25" spans="1:31" ht="16.2" customHeight="1">
      <c r="A25" s="51">
        <v>3</v>
      </c>
      <c r="B25" s="51"/>
      <c r="C25" s="386"/>
      <c r="D25" s="446"/>
      <c r="E25" s="146"/>
      <c r="F25" s="405"/>
      <c r="G25" s="51">
        <v>3</v>
      </c>
      <c r="H25" s="51">
        <v>73119</v>
      </c>
      <c r="I25" s="386" t="s">
        <v>843</v>
      </c>
      <c r="J25" s="143">
        <v>1300</v>
      </c>
      <c r="K25" s="137"/>
      <c r="L25" s="405"/>
      <c r="M25" s="51">
        <v>3</v>
      </c>
      <c r="N25" s="51">
        <v>75127</v>
      </c>
      <c r="O25" s="386" t="s">
        <v>848</v>
      </c>
      <c r="P25" s="143">
        <v>450</v>
      </c>
      <c r="Q25" s="137"/>
      <c r="R25" s="405"/>
      <c r="S25" s="51">
        <v>3</v>
      </c>
      <c r="T25" s="51">
        <v>74145</v>
      </c>
      <c r="U25" s="386" t="s">
        <v>1228</v>
      </c>
      <c r="V25" s="143">
        <v>2200</v>
      </c>
      <c r="W25" s="146"/>
      <c r="X25" s="405"/>
      <c r="Y25" s="51">
        <v>3</v>
      </c>
      <c r="Z25" s="51"/>
      <c r="AA25" s="512"/>
      <c r="AB25" s="139"/>
      <c r="AC25" s="137"/>
      <c r="AD25" s="132"/>
      <c r="AE25" s="719"/>
    </row>
    <row r="26" spans="1:31" ht="16.2" customHeight="1">
      <c r="A26" s="51">
        <v>3</v>
      </c>
      <c r="B26" s="51"/>
      <c r="C26" s="693"/>
      <c r="D26" s="139"/>
      <c r="E26" s="146"/>
      <c r="F26" s="132"/>
      <c r="G26" s="51">
        <v>3</v>
      </c>
      <c r="H26" s="51">
        <v>73121</v>
      </c>
      <c r="I26" s="386" t="s">
        <v>846</v>
      </c>
      <c r="J26" s="143">
        <v>1800</v>
      </c>
      <c r="K26" s="137"/>
      <c r="L26" s="405"/>
      <c r="M26" s="51">
        <v>3</v>
      </c>
      <c r="N26" s="51"/>
      <c r="O26" s="386"/>
      <c r="P26" s="143"/>
      <c r="Q26" s="137"/>
      <c r="R26" s="405"/>
      <c r="S26" s="51">
        <v>3</v>
      </c>
      <c r="T26" s="51"/>
      <c r="U26" s="386"/>
      <c r="V26" s="143"/>
      <c r="W26" s="146"/>
      <c r="X26" s="405"/>
      <c r="Y26" s="51">
        <v>3</v>
      </c>
      <c r="Z26" s="51"/>
      <c r="AA26" s="512"/>
      <c r="AB26" s="139"/>
      <c r="AC26" s="137"/>
      <c r="AD26" s="132"/>
      <c r="AE26" s="516"/>
    </row>
    <row r="27" spans="1:31" ht="16.2" customHeight="1">
      <c r="A27" s="51">
        <v>3</v>
      </c>
      <c r="B27" s="51"/>
      <c r="C27" s="512"/>
      <c r="D27" s="139"/>
      <c r="E27" s="146"/>
      <c r="F27" s="132"/>
      <c r="G27" s="51">
        <v>3</v>
      </c>
      <c r="H27" s="51"/>
      <c r="I27" s="386"/>
      <c r="J27" s="143"/>
      <c r="K27" s="137"/>
      <c r="L27" s="405"/>
      <c r="M27" s="51">
        <v>3</v>
      </c>
      <c r="N27" s="51"/>
      <c r="O27" s="386"/>
      <c r="P27" s="143"/>
      <c r="Q27" s="137"/>
      <c r="R27" s="405"/>
      <c r="S27" s="51">
        <v>3</v>
      </c>
      <c r="T27" s="51"/>
      <c r="U27" s="386"/>
      <c r="V27" s="143"/>
      <c r="W27" s="146"/>
      <c r="X27" s="132"/>
      <c r="Y27" s="51">
        <v>3</v>
      </c>
      <c r="Z27" s="51"/>
      <c r="AA27" s="512"/>
      <c r="AB27" s="139"/>
      <c r="AC27" s="137"/>
      <c r="AD27" s="132"/>
      <c r="AE27" s="516"/>
    </row>
    <row r="28" spans="1:31" ht="16.2" customHeight="1">
      <c r="A28" s="51">
        <v>3</v>
      </c>
      <c r="B28" s="51"/>
      <c r="C28" s="512"/>
      <c r="D28" s="139"/>
      <c r="E28" s="146"/>
      <c r="F28" s="132"/>
      <c r="G28" s="51">
        <v>3</v>
      </c>
      <c r="H28" s="51"/>
      <c r="I28" s="512"/>
      <c r="J28" s="139"/>
      <c r="K28" s="137"/>
      <c r="L28" s="132"/>
      <c r="M28" s="51">
        <v>3</v>
      </c>
      <c r="N28" s="51"/>
      <c r="O28" s="512"/>
      <c r="P28" s="139"/>
      <c r="Q28" s="137"/>
      <c r="R28" s="132"/>
      <c r="S28" s="51">
        <v>3</v>
      </c>
      <c r="T28" s="51"/>
      <c r="U28" s="512"/>
      <c r="V28" s="139"/>
      <c r="W28" s="146"/>
      <c r="X28" s="132"/>
      <c r="Y28" s="51">
        <v>3</v>
      </c>
      <c r="Z28" s="51"/>
      <c r="AA28" s="512"/>
      <c r="AB28" s="139"/>
      <c r="AC28" s="137"/>
      <c r="AD28" s="132"/>
      <c r="AE28" s="516"/>
    </row>
    <row r="29" spans="1:31" ht="16.2" customHeight="1" thickBot="1">
      <c r="A29" s="51">
        <v>3</v>
      </c>
      <c r="B29" s="51"/>
      <c r="C29" s="512"/>
      <c r="D29" s="139"/>
      <c r="E29" s="178"/>
      <c r="F29" s="132"/>
      <c r="G29" s="51">
        <v>3</v>
      </c>
      <c r="H29" s="51"/>
      <c r="I29" s="512"/>
      <c r="J29" s="139"/>
      <c r="K29" s="137"/>
      <c r="L29" s="132"/>
      <c r="M29" s="51">
        <v>3</v>
      </c>
      <c r="N29" s="51"/>
      <c r="O29" s="512"/>
      <c r="P29" s="139"/>
      <c r="Q29" s="137"/>
      <c r="R29" s="132"/>
      <c r="S29" s="51">
        <v>3</v>
      </c>
      <c r="T29" s="51"/>
      <c r="U29" s="512"/>
      <c r="V29" s="489"/>
      <c r="W29" s="137"/>
      <c r="X29" s="132"/>
      <c r="Y29" s="51">
        <v>3</v>
      </c>
      <c r="Z29" s="51"/>
      <c r="AA29" s="512"/>
      <c r="AB29" s="139"/>
      <c r="AC29" s="137"/>
      <c r="AD29" s="132"/>
      <c r="AE29" s="516"/>
    </row>
    <row r="30" spans="1:31" ht="16.2" customHeight="1" thickTop="1">
      <c r="A30" s="51">
        <v>4</v>
      </c>
      <c r="B30" s="51"/>
      <c r="C30" s="523" t="s">
        <v>692</v>
      </c>
      <c r="D30" s="535">
        <f xml:space="preserve"> SUM(D23:D29)</f>
        <v>3950</v>
      </c>
      <c r="E30" s="28"/>
      <c r="F30" s="75">
        <f>SUM(F23:F29)</f>
        <v>0</v>
      </c>
      <c r="G30" s="51">
        <v>4</v>
      </c>
      <c r="H30" s="51"/>
      <c r="I30" s="523" t="s">
        <v>692</v>
      </c>
      <c r="J30" s="535">
        <f xml:space="preserve"> SUM(J23:J29)</f>
        <v>5700</v>
      </c>
      <c r="K30" s="28"/>
      <c r="L30" s="75">
        <f>SUM(L23:L29)</f>
        <v>0</v>
      </c>
      <c r="M30" s="51">
        <v>4</v>
      </c>
      <c r="N30" s="51"/>
      <c r="O30" s="523" t="s">
        <v>692</v>
      </c>
      <c r="P30" s="535">
        <f xml:space="preserve"> SUM(P23:P29)</f>
        <v>3400</v>
      </c>
      <c r="Q30" s="28"/>
      <c r="R30" s="75">
        <f>SUM(R23:R29)</f>
        <v>0</v>
      </c>
      <c r="S30" s="51">
        <v>4</v>
      </c>
      <c r="T30" s="51"/>
      <c r="U30" s="523" t="s">
        <v>692</v>
      </c>
      <c r="V30" s="535">
        <f xml:space="preserve"> SUM(V23:V29)</f>
        <v>4650</v>
      </c>
      <c r="W30" s="28"/>
      <c r="X30" s="75">
        <f>SUM(X23:X29)</f>
        <v>0</v>
      </c>
      <c r="Y30" s="51">
        <v>4</v>
      </c>
      <c r="Z30" s="51"/>
      <c r="AA30" s="702" t="s">
        <v>692</v>
      </c>
      <c r="AB30" s="535">
        <f>SUM(AB23:AB29)</f>
        <v>0</v>
      </c>
      <c r="AC30" s="28"/>
      <c r="AD30" s="92">
        <f>SUM(AD23:AD29)</f>
        <v>0</v>
      </c>
      <c r="AE30" s="524">
        <f>D30+J30+P30+V30+AB30</f>
        <v>17700</v>
      </c>
    </row>
    <row r="31" spans="1:31" ht="16.2" customHeight="1">
      <c r="A31" s="51">
        <v>9</v>
      </c>
      <c r="B31" s="51"/>
      <c r="C31" s="46"/>
      <c r="F31" s="224"/>
      <c r="G31" s="51">
        <v>9</v>
      </c>
      <c r="H31" s="51"/>
      <c r="I31" s="489"/>
      <c r="J31" s="489"/>
      <c r="K31" s="217"/>
      <c r="L31" s="224"/>
      <c r="M31" s="51">
        <v>9</v>
      </c>
      <c r="N31" s="51"/>
      <c r="O31" s="489"/>
      <c r="P31" s="489"/>
      <c r="Q31" s="217"/>
      <c r="R31" s="224"/>
      <c r="S31" s="51">
        <v>9</v>
      </c>
      <c r="T31" s="51"/>
      <c r="X31" s="224"/>
      <c r="Y31" s="51">
        <v>9</v>
      </c>
      <c r="Z31" s="51"/>
      <c r="AA31" s="489"/>
      <c r="AB31" s="489"/>
      <c r="AC31" s="15"/>
      <c r="AD31" s="527" t="s">
        <v>692</v>
      </c>
      <c r="AE31" s="93">
        <f>A大阪市東住吉区折込部数+M大阪市東住吉区折込部数+S大阪市東住吉区折込部数+Y大阪市東住吉区折込部数+AD30</f>
        <v>0</v>
      </c>
    </row>
    <row r="32" spans="1:31" ht="16.2" customHeight="1">
      <c r="C32" s="18"/>
      <c r="D32" s="21"/>
      <c r="E32" s="217"/>
      <c r="F32" s="246"/>
      <c r="G32" s="246"/>
      <c r="H32" s="246"/>
      <c r="I32" s="18"/>
      <c r="J32" s="21"/>
      <c r="K32" s="217"/>
      <c r="L32" s="246"/>
      <c r="M32" s="246"/>
      <c r="N32" s="246"/>
      <c r="O32" s="537"/>
      <c r="P32" s="213"/>
      <c r="Q32" s="217"/>
      <c r="R32" s="246"/>
      <c r="S32" s="246"/>
      <c r="T32" s="246"/>
      <c r="U32" s="537"/>
      <c r="V32" s="213"/>
      <c r="W32" s="217"/>
      <c r="X32" s="246"/>
      <c r="Y32" s="246"/>
      <c r="Z32" s="246"/>
      <c r="AA32" s="489"/>
      <c r="AB32" s="213"/>
      <c r="AC32" s="224"/>
      <c r="AD32" s="489"/>
      <c r="AE32" s="489"/>
    </row>
    <row r="33" spans="3:31" ht="16.2" customHeight="1">
      <c r="C33" s="18"/>
      <c r="D33" s="21"/>
      <c r="F33" s="189"/>
      <c r="G33" s="189"/>
      <c r="H33" s="189"/>
      <c r="I33" s="18"/>
      <c r="J33" s="21"/>
      <c r="L33" s="189"/>
      <c r="M33" s="189"/>
      <c r="N33" s="189"/>
      <c r="O33" s="18"/>
      <c r="P33" s="21"/>
      <c r="R33" s="189"/>
      <c r="S33" s="189"/>
      <c r="T33" s="189"/>
      <c r="U33" s="18"/>
      <c r="V33" s="21"/>
      <c r="X33" s="189"/>
      <c r="Y33" s="189"/>
      <c r="Z33" s="189"/>
      <c r="AB33" s="21"/>
      <c r="AD33"/>
      <c r="AE33" s="20">
        <f>+V33+P33+J33+D33</f>
        <v>0</v>
      </c>
    </row>
    <row r="34" spans="3:31" ht="16.2" customHeight="1">
      <c r="C34" s="46"/>
      <c r="D34" s="21"/>
      <c r="F34" s="224"/>
      <c r="G34" s="224"/>
      <c r="H34" s="224"/>
      <c r="I34" s="489"/>
      <c r="J34" s="213"/>
      <c r="K34" s="217"/>
      <c r="L34" s="224"/>
      <c r="M34" s="224"/>
      <c r="N34" s="224"/>
      <c r="O34" s="489"/>
      <c r="P34" s="213"/>
      <c r="Q34" s="217"/>
      <c r="R34" s="224"/>
      <c r="S34" s="224"/>
      <c r="T34" s="224"/>
      <c r="U34" s="489"/>
      <c r="V34" s="213"/>
      <c r="W34" s="217"/>
      <c r="X34" s="489"/>
      <c r="Y34" s="489"/>
      <c r="Z34" s="489"/>
      <c r="AA34" s="489"/>
      <c r="AB34" s="213"/>
      <c r="AD34" s="18"/>
      <c r="AE34" s="189"/>
    </row>
    <row r="35" spans="3:31" ht="16.2" customHeight="1">
      <c r="C35" s="18"/>
      <c r="D35" s="21"/>
      <c r="E35" s="252"/>
      <c r="F35" s="246"/>
      <c r="G35" s="246"/>
      <c r="H35" s="246"/>
      <c r="I35" s="18"/>
      <c r="J35" s="21"/>
      <c r="K35" s="252"/>
      <c r="L35" s="246"/>
      <c r="M35" s="246"/>
      <c r="N35" s="246"/>
      <c r="O35" s="537"/>
      <c r="P35" s="213"/>
      <c r="Q35" s="252"/>
      <c r="R35" s="246"/>
      <c r="S35" s="246"/>
      <c r="T35" s="246"/>
      <c r="U35" s="537"/>
      <c r="V35" s="213"/>
      <c r="W35" s="217"/>
      <c r="X35" s="489"/>
      <c r="Y35" s="489"/>
      <c r="Z35" s="489"/>
      <c r="AA35" s="489"/>
      <c r="AB35" s="213"/>
      <c r="AC35" s="224"/>
      <c r="AD35" s="489"/>
      <c r="AE35" s="489"/>
    </row>
    <row r="36" spans="3:31" ht="16.2" customHeight="1">
      <c r="C36" s="696"/>
      <c r="D36" s="21"/>
      <c r="E36" s="252"/>
      <c r="F36" s="246"/>
      <c r="G36" s="246"/>
      <c r="H36" s="246"/>
      <c r="I36" s="18"/>
      <c r="J36" s="21"/>
      <c r="K36" s="252"/>
      <c r="L36" s="246"/>
      <c r="M36" s="246"/>
      <c r="N36" s="246"/>
      <c r="O36" s="537"/>
      <c r="P36" s="213"/>
      <c r="Q36" s="217"/>
      <c r="R36" s="246"/>
      <c r="S36" s="246"/>
      <c r="T36" s="246"/>
      <c r="U36" s="537"/>
      <c r="V36" s="213"/>
      <c r="W36" s="217"/>
      <c r="X36" s="489"/>
      <c r="Y36" s="489"/>
      <c r="Z36" s="489"/>
      <c r="AA36" s="489"/>
      <c r="AB36" s="213"/>
      <c r="AC36" s="224"/>
      <c r="AD36" s="489"/>
      <c r="AE36" s="489"/>
    </row>
    <row r="37" spans="3:31" ht="16.2" customHeight="1">
      <c r="C37" s="18"/>
      <c r="D37" s="21"/>
      <c r="E37" s="252"/>
      <c r="F37" s="246"/>
      <c r="G37" s="246"/>
      <c r="H37" s="246"/>
      <c r="I37" s="537"/>
      <c r="J37" s="213"/>
      <c r="K37" s="217"/>
      <c r="L37" s="246"/>
      <c r="M37" s="246"/>
      <c r="N37" s="246"/>
      <c r="O37" s="537"/>
      <c r="P37" s="213"/>
      <c r="Q37" s="217"/>
      <c r="R37" s="246"/>
      <c r="S37" s="246"/>
      <c r="T37" s="246"/>
      <c r="U37" s="537"/>
      <c r="V37" s="213"/>
      <c r="W37" s="217"/>
      <c r="X37" s="489"/>
      <c r="Y37" s="489"/>
      <c r="Z37" s="489"/>
      <c r="AA37" s="489"/>
      <c r="AB37" s="213"/>
      <c r="AC37" s="224"/>
      <c r="AD37" s="489"/>
      <c r="AE37" s="489"/>
    </row>
    <row r="38" spans="3:31" ht="16.2" customHeight="1">
      <c r="C38" s="18"/>
      <c r="D38" s="21"/>
      <c r="E38" s="252"/>
      <c r="F38" s="246"/>
      <c r="G38" s="246"/>
      <c r="H38" s="246"/>
      <c r="I38" s="537"/>
      <c r="J38" s="213"/>
      <c r="K38" s="217"/>
      <c r="L38" s="246"/>
      <c r="M38" s="246"/>
      <c r="N38" s="246"/>
      <c r="O38" s="537"/>
      <c r="P38" s="213"/>
      <c r="Q38" s="217"/>
      <c r="R38" s="246"/>
      <c r="S38" s="246"/>
      <c r="T38" s="246"/>
      <c r="U38" s="537"/>
      <c r="V38" s="213"/>
      <c r="W38" s="217"/>
      <c r="X38" s="489"/>
      <c r="Y38" s="489"/>
      <c r="Z38" s="489"/>
      <c r="AA38" s="489"/>
      <c r="AB38" s="609"/>
      <c r="AC38" s="224"/>
      <c r="AD38" s="489"/>
      <c r="AE38" s="489"/>
    </row>
    <row r="39" spans="3:31" ht="16.2" customHeight="1">
      <c r="C39" s="537"/>
      <c r="D39" s="213"/>
      <c r="E39" s="217"/>
      <c r="F39" s="246"/>
      <c r="G39" s="246"/>
      <c r="H39" s="246"/>
      <c r="I39" s="537"/>
      <c r="J39" s="213"/>
      <c r="K39" s="217"/>
      <c r="L39" s="246"/>
      <c r="M39" s="246"/>
      <c r="N39" s="246"/>
      <c r="O39" s="537"/>
      <c r="P39" s="213"/>
      <c r="Q39" s="217"/>
      <c r="R39" s="246"/>
      <c r="S39" s="246"/>
      <c r="T39" s="246"/>
      <c r="U39" s="537"/>
      <c r="V39" s="213"/>
      <c r="W39" s="217"/>
      <c r="X39" s="489"/>
      <c r="Y39" s="489"/>
      <c r="Z39" s="489"/>
      <c r="AA39" s="489"/>
      <c r="AB39" s="213"/>
      <c r="AC39" s="224"/>
      <c r="AD39" s="489"/>
      <c r="AE39" s="489"/>
    </row>
    <row r="40" spans="3:31" ht="15.75" customHeight="1">
      <c r="C40" s="18"/>
      <c r="D40" s="21"/>
      <c r="F40" s="189"/>
      <c r="G40" s="189"/>
      <c r="H40" s="189"/>
      <c r="I40" s="18"/>
      <c r="J40" s="21"/>
      <c r="L40" s="189"/>
      <c r="M40" s="189"/>
      <c r="N40" s="189"/>
      <c r="O40" s="18"/>
      <c r="P40" s="21"/>
      <c r="R40" s="189"/>
      <c r="S40" s="189"/>
      <c r="T40" s="189"/>
      <c r="U40" s="18"/>
      <c r="V40" s="21"/>
      <c r="AB40" s="21"/>
      <c r="AD40"/>
      <c r="AE40" s="20"/>
    </row>
    <row r="41" spans="3:31" ht="16.2" customHeight="1">
      <c r="D41" s="21"/>
      <c r="F41" s="224"/>
      <c r="G41" s="224"/>
      <c r="H41" s="224"/>
      <c r="I41" s="489"/>
      <c r="J41" s="213"/>
      <c r="K41" s="217"/>
      <c r="L41" s="224"/>
      <c r="M41" s="224"/>
      <c r="N41" s="224"/>
      <c r="O41" s="489"/>
      <c r="P41" s="213"/>
      <c r="Q41" s="217"/>
      <c r="R41" s="224"/>
      <c r="S41" s="224"/>
      <c r="T41" s="224"/>
      <c r="U41" s="489"/>
      <c r="V41" s="213"/>
      <c r="W41" s="217"/>
      <c r="X41" s="489"/>
      <c r="Y41" s="489"/>
      <c r="Z41" s="489"/>
      <c r="AA41" s="489"/>
      <c r="AB41" s="213"/>
      <c r="AD41" s="18"/>
      <c r="AE41" s="189"/>
    </row>
    <row r="42" spans="3:31" ht="16.2" customHeight="1"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17"/>
      <c r="R42" s="224"/>
      <c r="S42" s="224"/>
      <c r="T42" s="224"/>
      <c r="U42" s="489"/>
      <c r="V42" s="489"/>
      <c r="W42" s="217"/>
      <c r="X42" s="489"/>
      <c r="Y42" s="489"/>
      <c r="Z42" s="489"/>
      <c r="AA42" s="489"/>
      <c r="AB42" s="489"/>
      <c r="AC42" s="224"/>
      <c r="AD42" s="224"/>
      <c r="AE42" s="489"/>
    </row>
    <row r="43" spans="3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17"/>
      <c r="R43" s="224"/>
      <c r="S43" s="224"/>
      <c r="T43" s="224"/>
      <c r="U43" s="489"/>
      <c r="V43" s="489"/>
      <c r="W43" s="217"/>
      <c r="X43" s="489"/>
      <c r="Y43" s="489"/>
      <c r="Z43" s="489"/>
      <c r="AA43" s="489"/>
      <c r="AB43" s="489"/>
      <c r="AC43" s="224"/>
      <c r="AD43" s="224"/>
      <c r="AE43" s="489"/>
    </row>
    <row r="44" spans="3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17"/>
      <c r="R44" s="224"/>
      <c r="S44" s="224"/>
      <c r="T44" s="224"/>
      <c r="U44" s="489"/>
      <c r="V44" s="489"/>
      <c r="W44" s="217"/>
      <c r="X44" s="489"/>
      <c r="Y44" s="489"/>
      <c r="Z44" s="489"/>
      <c r="AA44" s="489"/>
      <c r="AB44" s="489"/>
      <c r="AC44" s="224"/>
      <c r="AD44" s="224"/>
      <c r="AE44" s="489"/>
    </row>
    <row r="45" spans="3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17"/>
      <c r="R45" s="224"/>
      <c r="S45" s="224"/>
      <c r="T45" s="224"/>
      <c r="U45" s="489"/>
      <c r="V45" s="489"/>
      <c r="W45" s="217"/>
      <c r="X45" s="489"/>
      <c r="Y45" s="489"/>
      <c r="Z45" s="489"/>
      <c r="AA45" s="489"/>
      <c r="AB45" s="489"/>
      <c r="AC45" s="224"/>
      <c r="AD45" s="224"/>
      <c r="AE45" s="489"/>
    </row>
    <row r="46" spans="3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17"/>
      <c r="R46" s="224"/>
      <c r="S46" s="224"/>
      <c r="T46" s="224"/>
      <c r="U46" s="489"/>
      <c r="V46" s="489"/>
      <c r="W46" s="217"/>
      <c r="X46" s="489"/>
      <c r="Y46" s="489"/>
      <c r="Z46" s="489"/>
      <c r="AA46" s="489"/>
      <c r="AB46" s="489"/>
      <c r="AC46" s="224"/>
      <c r="AD46" s="224"/>
      <c r="AE46" s="489"/>
    </row>
    <row r="47" spans="3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17"/>
      <c r="R47" s="224"/>
      <c r="S47" s="224"/>
      <c r="T47" s="224"/>
      <c r="U47" s="489"/>
      <c r="V47" s="489"/>
      <c r="W47" s="217"/>
      <c r="X47" s="489"/>
      <c r="Y47" s="489"/>
      <c r="Z47" s="489"/>
      <c r="AA47" s="489"/>
      <c r="AB47" s="489"/>
      <c r="AC47" s="224"/>
      <c r="AD47" s="224"/>
      <c r="AE47" s="489"/>
    </row>
    <row r="48" spans="3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17"/>
      <c r="R48" s="224"/>
      <c r="S48" s="224"/>
      <c r="T48" s="224"/>
      <c r="U48" s="489"/>
      <c r="V48" s="489"/>
      <c r="W48" s="217"/>
      <c r="X48" s="489"/>
      <c r="Y48" s="489"/>
      <c r="Z48" s="489"/>
      <c r="AA48" s="489"/>
      <c r="AB48" s="489"/>
      <c r="AC48" s="224"/>
      <c r="AD48" s="224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17"/>
      <c r="R49" s="224"/>
      <c r="S49" s="224"/>
      <c r="T49" s="224"/>
      <c r="U49" s="489"/>
      <c r="V49" s="489"/>
      <c r="W49" s="217"/>
      <c r="X49" s="489"/>
      <c r="Y49" s="489"/>
      <c r="Z49" s="489"/>
      <c r="AA49" s="489"/>
      <c r="AB49" s="489"/>
      <c r="AC49" s="224"/>
      <c r="AD49" s="224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17"/>
      <c r="R50" s="224"/>
      <c r="S50" s="224"/>
      <c r="T50" s="224"/>
      <c r="U50" s="489"/>
      <c r="V50" s="489"/>
      <c r="W50" s="217"/>
      <c r="X50" s="489"/>
      <c r="Y50" s="489"/>
      <c r="Z50" s="489"/>
      <c r="AA50" s="489"/>
      <c r="AB50" s="489"/>
      <c r="AC50" s="224"/>
      <c r="AD50" s="224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17"/>
      <c r="R51" s="224"/>
      <c r="S51" s="224"/>
      <c r="T51" s="224"/>
      <c r="U51" s="489"/>
      <c r="V51" s="489"/>
      <c r="W51" s="217"/>
      <c r="X51" s="489"/>
      <c r="Y51" s="489"/>
      <c r="Z51" s="489"/>
      <c r="AA51" s="489"/>
      <c r="AB51" s="489"/>
      <c r="AC51" s="224"/>
      <c r="AD51" s="224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17"/>
      <c r="R52" s="224"/>
      <c r="S52" s="224"/>
      <c r="T52" s="224"/>
      <c r="U52" s="489"/>
      <c r="V52" s="489"/>
      <c r="W52" s="217"/>
      <c r="X52" s="489"/>
      <c r="Y52" s="489"/>
      <c r="Z52" s="489"/>
      <c r="AA52" s="489"/>
      <c r="AB52" s="489"/>
      <c r="AC52" s="224"/>
      <c r="AD52" s="224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17"/>
      <c r="R53" s="224"/>
      <c r="S53" s="224"/>
      <c r="T53" s="224"/>
      <c r="U53" s="489"/>
      <c r="V53" s="489"/>
      <c r="W53" s="217"/>
      <c r="X53" s="489"/>
      <c r="Y53" s="489"/>
      <c r="Z53" s="489"/>
      <c r="AA53" s="489"/>
      <c r="AB53" s="489"/>
      <c r="AC53" s="224"/>
      <c r="AD53" s="224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17"/>
      <c r="R54" s="224"/>
      <c r="S54" s="224"/>
      <c r="T54" s="224"/>
      <c r="U54" s="489"/>
      <c r="V54" s="489"/>
      <c r="W54" s="217"/>
      <c r="X54" s="489"/>
      <c r="Y54" s="489"/>
      <c r="Z54" s="489"/>
      <c r="AA54" s="489"/>
      <c r="AB54" s="489"/>
      <c r="AC54" s="224"/>
      <c r="AD54" s="224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17"/>
      <c r="R55" s="224"/>
      <c r="S55" s="224"/>
      <c r="T55" s="224"/>
      <c r="U55" s="489"/>
      <c r="V55" s="489"/>
      <c r="W55" s="217"/>
      <c r="X55" s="489"/>
      <c r="Y55" s="489"/>
      <c r="Z55" s="489"/>
      <c r="AA55" s="489"/>
      <c r="AB55" s="489"/>
      <c r="AC55" s="224"/>
      <c r="AD55" s="224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17"/>
      <c r="R56" s="224"/>
      <c r="S56" s="224"/>
      <c r="T56" s="224"/>
      <c r="U56" s="489"/>
      <c r="V56" s="489"/>
      <c r="W56" s="217"/>
      <c r="X56" s="489"/>
      <c r="Y56" s="489"/>
      <c r="Z56" s="489"/>
      <c r="AA56" s="489"/>
      <c r="AB56" s="489"/>
      <c r="AC56" s="224"/>
      <c r="AD56" s="224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17"/>
      <c r="R57" s="224"/>
      <c r="S57" s="224"/>
      <c r="T57" s="224"/>
      <c r="U57" s="489"/>
      <c r="V57" s="489"/>
      <c r="W57" s="217"/>
      <c r="X57" s="489"/>
      <c r="Y57" s="489"/>
      <c r="Z57" s="489"/>
      <c r="AA57" s="489"/>
      <c r="AB57" s="489"/>
      <c r="AC57" s="224"/>
      <c r="AD57" s="224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17"/>
      <c r="R58" s="224"/>
      <c r="S58" s="224"/>
      <c r="T58" s="224"/>
      <c r="U58" s="489"/>
      <c r="V58" s="489"/>
      <c r="W58" s="217"/>
      <c r="X58" s="489"/>
      <c r="Y58" s="489"/>
      <c r="Z58" s="489"/>
      <c r="AA58" s="489"/>
      <c r="AB58" s="489"/>
      <c r="AC58" s="224"/>
      <c r="AD58" s="224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17"/>
      <c r="R59" s="224"/>
      <c r="S59" s="224"/>
      <c r="T59" s="224"/>
      <c r="U59" s="489"/>
      <c r="V59" s="489"/>
      <c r="W59" s="217"/>
      <c r="X59" s="489"/>
      <c r="Y59" s="489"/>
      <c r="Z59" s="489"/>
      <c r="AA59" s="489"/>
      <c r="AB59" s="489"/>
      <c r="AC59" s="224"/>
      <c r="AD59" s="224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17"/>
      <c r="R60" s="224"/>
      <c r="S60" s="224"/>
      <c r="T60" s="224"/>
      <c r="U60" s="489"/>
      <c r="V60" s="489"/>
      <c r="W60" s="217"/>
      <c r="X60" s="489"/>
      <c r="Y60" s="489"/>
      <c r="Z60" s="489"/>
      <c r="AA60" s="489"/>
      <c r="AB60" s="489"/>
      <c r="AC60" s="224"/>
      <c r="AD60" s="224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17"/>
      <c r="R61" s="224"/>
      <c r="S61" s="224"/>
      <c r="T61" s="224"/>
      <c r="U61" s="489"/>
      <c r="V61" s="489"/>
      <c r="W61" s="217"/>
      <c r="X61" s="489"/>
      <c r="Y61" s="489"/>
      <c r="Z61" s="489"/>
      <c r="AA61" s="489"/>
      <c r="AB61" s="489"/>
      <c r="AC61" s="224"/>
      <c r="AD61" s="224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17"/>
      <c r="R62" s="224"/>
      <c r="S62" s="224"/>
      <c r="T62" s="224"/>
      <c r="U62" s="489"/>
      <c r="V62" s="489"/>
      <c r="W62" s="217"/>
      <c r="X62" s="489"/>
      <c r="Y62" s="489"/>
      <c r="Z62" s="489"/>
      <c r="AA62" s="489"/>
      <c r="AB62" s="489"/>
      <c r="AC62" s="224"/>
      <c r="AD62" s="224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17"/>
      <c r="R63" s="224"/>
      <c r="S63" s="224"/>
      <c r="T63" s="224"/>
      <c r="U63" s="489"/>
      <c r="V63" s="489"/>
      <c r="W63" s="217"/>
      <c r="X63" s="489"/>
      <c r="Y63" s="489"/>
      <c r="Z63" s="489"/>
      <c r="AA63" s="489"/>
      <c r="AB63" s="489"/>
      <c r="AC63" s="224"/>
      <c r="AD63" s="224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17"/>
      <c r="R64" s="224"/>
      <c r="S64" s="224"/>
      <c r="T64" s="224"/>
      <c r="U64" s="489"/>
      <c r="V64" s="489"/>
      <c r="W64" s="217"/>
      <c r="X64" s="489"/>
      <c r="Y64" s="489"/>
      <c r="Z64" s="489"/>
      <c r="AA64" s="489"/>
      <c r="AB64" s="489"/>
      <c r="AC64" s="224"/>
      <c r="AD64" s="224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17"/>
      <c r="R65" s="224"/>
      <c r="S65" s="224"/>
      <c r="T65" s="224"/>
      <c r="U65" s="489"/>
      <c r="V65" s="489"/>
      <c r="W65" s="217"/>
      <c r="X65" s="489"/>
      <c r="Y65" s="489"/>
      <c r="Z65" s="489"/>
      <c r="AA65" s="489"/>
      <c r="AB65" s="489"/>
      <c r="AC65" s="224"/>
      <c r="AD65" s="224"/>
      <c r="AE65" s="489"/>
    </row>
    <row r="66" spans="3:31" ht="16.2" customHeight="1">
      <c r="C66" s="489"/>
      <c r="D66" s="489"/>
      <c r="E66" s="217"/>
      <c r="F66" s="224"/>
      <c r="G66" s="224"/>
      <c r="H66" s="224"/>
      <c r="I66" s="489"/>
      <c r="J66" s="489"/>
      <c r="K66" s="217"/>
      <c r="L66" s="224"/>
      <c r="M66" s="224"/>
      <c r="N66" s="224"/>
      <c r="O66" s="489"/>
      <c r="P66" s="489"/>
      <c r="Q66" s="217"/>
      <c r="R66" s="224"/>
      <c r="S66" s="224"/>
      <c r="T66" s="224"/>
      <c r="U66" s="489"/>
      <c r="V66" s="489"/>
      <c r="W66" s="217"/>
      <c r="X66" s="489"/>
      <c r="Y66" s="489"/>
      <c r="Z66" s="489"/>
      <c r="AA66" s="489"/>
      <c r="AB66" s="489"/>
      <c r="AC66" s="224"/>
      <c r="AD66" s="224"/>
      <c r="AE66" s="489"/>
    </row>
    <row r="67" spans="3:31" ht="16.2" customHeight="1">
      <c r="C67" s="489"/>
      <c r="D67" s="489"/>
      <c r="E67" s="217"/>
      <c r="F67" s="224"/>
      <c r="G67" s="224"/>
      <c r="H67" s="224"/>
      <c r="I67" s="489"/>
      <c r="J67" s="489"/>
      <c r="K67" s="217"/>
      <c r="L67" s="224"/>
      <c r="M67" s="224"/>
      <c r="N67" s="224"/>
      <c r="O67" s="489"/>
      <c r="P67" s="489"/>
      <c r="Q67" s="217"/>
      <c r="R67" s="224"/>
      <c r="S67" s="224"/>
      <c r="T67" s="224"/>
      <c r="U67" s="489"/>
      <c r="V67" s="489"/>
      <c r="W67" s="217"/>
      <c r="X67" s="489"/>
      <c r="Y67" s="489"/>
      <c r="Z67" s="489"/>
      <c r="AA67" s="489"/>
      <c r="AB67" s="489"/>
      <c r="AC67" s="224"/>
      <c r="AD67" s="224"/>
      <c r="AE67" s="489"/>
    </row>
    <row r="68" spans="3:31" ht="16.2" customHeight="1">
      <c r="C68" s="489"/>
      <c r="D68" s="489"/>
      <c r="E68" s="217"/>
      <c r="F68" s="224"/>
      <c r="G68" s="224"/>
      <c r="H68" s="224"/>
      <c r="I68" s="489"/>
      <c r="J68" s="489"/>
      <c r="K68" s="217"/>
      <c r="L68" s="224"/>
      <c r="M68" s="224"/>
      <c r="N68" s="224"/>
      <c r="O68" s="489"/>
      <c r="P68" s="489"/>
      <c r="Q68" s="217"/>
      <c r="R68" s="224"/>
      <c r="S68" s="224"/>
      <c r="T68" s="224"/>
      <c r="U68" s="489"/>
      <c r="V68" s="489"/>
      <c r="W68" s="217"/>
      <c r="X68" s="489"/>
      <c r="Y68" s="489"/>
      <c r="Z68" s="489"/>
      <c r="AA68" s="489"/>
      <c r="AB68" s="489"/>
      <c r="AC68" s="224"/>
      <c r="AD68" s="224"/>
      <c r="AE68" s="489"/>
    </row>
    <row r="69" spans="3:31" ht="16.2" customHeight="1">
      <c r="C69" s="489"/>
      <c r="D69" s="489"/>
      <c r="E69" s="217"/>
      <c r="F69" s="224"/>
      <c r="G69" s="224"/>
      <c r="H69" s="224"/>
      <c r="I69" s="489"/>
      <c r="J69" s="489"/>
      <c r="K69" s="217"/>
      <c r="L69" s="224"/>
      <c r="M69" s="224"/>
      <c r="N69" s="224"/>
      <c r="O69" s="489"/>
      <c r="P69" s="489"/>
      <c r="Q69" s="217"/>
      <c r="R69" s="224"/>
      <c r="S69" s="224"/>
      <c r="T69" s="224"/>
      <c r="U69" s="489"/>
      <c r="V69" s="489"/>
      <c r="W69" s="217"/>
      <c r="X69" s="489"/>
      <c r="Y69" s="489"/>
      <c r="Z69" s="489"/>
      <c r="AA69" s="489"/>
      <c r="AB69" s="489"/>
      <c r="AC69" s="224"/>
      <c r="AD69" s="224"/>
      <c r="AE69" s="489"/>
    </row>
    <row r="70" spans="3:31" ht="16.2" customHeight="1">
      <c r="C70" s="489"/>
      <c r="D70" s="489"/>
      <c r="E70" s="217"/>
      <c r="F70" s="224"/>
      <c r="G70" s="224"/>
      <c r="H70" s="224"/>
      <c r="I70" s="489"/>
      <c r="J70" s="489"/>
      <c r="K70" s="217"/>
      <c r="L70" s="224"/>
      <c r="M70" s="224"/>
      <c r="N70" s="224"/>
      <c r="O70" s="489"/>
      <c r="P70" s="489"/>
      <c r="Q70" s="217"/>
      <c r="R70" s="224"/>
      <c r="S70" s="224"/>
      <c r="T70" s="224"/>
      <c r="U70" s="489"/>
      <c r="V70" s="489"/>
      <c r="W70" s="217"/>
      <c r="X70" s="489"/>
      <c r="Y70" s="489"/>
      <c r="Z70" s="489"/>
      <c r="AA70" s="489"/>
      <c r="AB70" s="489"/>
      <c r="AC70" s="224"/>
      <c r="AD70" s="224"/>
      <c r="AE70" s="489"/>
    </row>
    <row r="71" spans="3:31" ht="16.2" customHeight="1">
      <c r="C71" s="489"/>
      <c r="D71" s="489"/>
      <c r="E71" s="217"/>
      <c r="F71" s="224"/>
      <c r="G71" s="224"/>
      <c r="H71" s="224"/>
      <c r="I71" s="489"/>
      <c r="J71" s="489"/>
      <c r="K71" s="217"/>
      <c r="L71" s="224"/>
      <c r="M71" s="224"/>
      <c r="N71" s="224"/>
      <c r="O71" s="489"/>
      <c r="P71" s="489"/>
      <c r="Q71" s="217"/>
      <c r="R71" s="224"/>
      <c r="S71" s="224"/>
      <c r="T71" s="224"/>
      <c r="U71" s="489"/>
      <c r="V71" s="489"/>
      <c r="W71" s="217"/>
      <c r="X71" s="489"/>
      <c r="Y71" s="489"/>
      <c r="Z71" s="489"/>
      <c r="AA71" s="489"/>
      <c r="AB71" s="489"/>
      <c r="AC71" s="224"/>
      <c r="AD71" s="224"/>
      <c r="AE71" s="489"/>
    </row>
    <row r="72" spans="3:31" ht="16.2" customHeight="1">
      <c r="C72" s="489"/>
      <c r="D72" s="489"/>
      <c r="E72" s="217"/>
      <c r="F72" s="224"/>
      <c r="G72" s="224"/>
      <c r="H72" s="224"/>
      <c r="I72" s="489"/>
      <c r="J72" s="489"/>
      <c r="K72" s="217"/>
      <c r="L72" s="224"/>
      <c r="M72" s="224"/>
      <c r="N72" s="224"/>
      <c r="O72" s="489"/>
      <c r="P72" s="489"/>
      <c r="Q72" s="217"/>
      <c r="R72" s="224"/>
      <c r="S72" s="224"/>
      <c r="T72" s="224"/>
      <c r="U72" s="489"/>
      <c r="V72" s="489"/>
      <c r="W72" s="217"/>
      <c r="X72" s="489"/>
      <c r="Y72" s="489"/>
      <c r="Z72" s="489"/>
      <c r="AA72" s="489"/>
      <c r="AB72" s="489"/>
      <c r="AC72" s="224"/>
      <c r="AD72" s="224"/>
      <c r="AE72" s="489"/>
    </row>
    <row r="73" spans="3:31" ht="16.2" customHeight="1">
      <c r="C73" s="489"/>
      <c r="D73" s="489"/>
      <c r="E73" s="217"/>
      <c r="F73" s="224"/>
      <c r="G73" s="224"/>
      <c r="H73" s="224"/>
      <c r="I73" s="489"/>
      <c r="J73" s="489"/>
      <c r="K73" s="217"/>
      <c r="L73" s="224"/>
      <c r="M73" s="224"/>
      <c r="N73" s="224"/>
      <c r="O73" s="489"/>
      <c r="P73" s="489"/>
      <c r="Q73" s="217"/>
      <c r="R73" s="224"/>
      <c r="S73" s="224"/>
      <c r="T73" s="224"/>
      <c r="U73" s="489"/>
      <c r="V73" s="489"/>
      <c r="W73" s="217"/>
      <c r="X73" s="489"/>
      <c r="Y73" s="489"/>
      <c r="Z73" s="489"/>
      <c r="AA73" s="489"/>
      <c r="AB73" s="489"/>
      <c r="AC73" s="224"/>
      <c r="AD73" s="224"/>
      <c r="AE73" s="489"/>
    </row>
    <row r="74" spans="3:31" ht="16.2" customHeight="1">
      <c r="C74" s="489"/>
      <c r="D74" s="489"/>
      <c r="E74" s="217"/>
      <c r="F74" s="224"/>
      <c r="G74" s="224"/>
      <c r="H74" s="224"/>
      <c r="I74" s="489"/>
      <c r="J74" s="489"/>
      <c r="K74" s="217"/>
      <c r="L74" s="224"/>
      <c r="M74" s="224"/>
      <c r="N74" s="224"/>
      <c r="O74" s="489"/>
      <c r="P74" s="489"/>
      <c r="Q74" s="217"/>
      <c r="R74" s="224"/>
      <c r="S74" s="224"/>
      <c r="T74" s="224"/>
      <c r="U74" s="489"/>
      <c r="V74" s="489"/>
      <c r="W74" s="217"/>
      <c r="X74" s="489"/>
      <c r="Y74" s="489"/>
      <c r="Z74" s="489"/>
      <c r="AA74" s="489"/>
      <c r="AB74" s="489"/>
      <c r="AC74" s="224"/>
      <c r="AD74" s="224"/>
      <c r="AE74" s="489"/>
    </row>
    <row r="75" spans="3:31" ht="16.2" customHeight="1">
      <c r="C75" s="489"/>
      <c r="D75" s="489"/>
      <c r="E75" s="217"/>
      <c r="F75" s="224"/>
      <c r="G75" s="224"/>
      <c r="H75" s="224"/>
      <c r="I75" s="489"/>
      <c r="J75" s="489"/>
      <c r="K75" s="217"/>
      <c r="L75" s="224"/>
      <c r="M75" s="224"/>
      <c r="N75" s="224"/>
      <c r="O75" s="489"/>
      <c r="P75" s="489"/>
      <c r="Q75" s="217"/>
      <c r="R75" s="224"/>
      <c r="S75" s="224"/>
      <c r="T75" s="224"/>
      <c r="U75" s="489"/>
      <c r="V75" s="489"/>
      <c r="W75" s="217"/>
      <c r="X75" s="489"/>
      <c r="Y75" s="489"/>
      <c r="Z75" s="489"/>
      <c r="AA75" s="489"/>
      <c r="AB75" s="489"/>
      <c r="AC75" s="224"/>
      <c r="AD75" s="224"/>
      <c r="AE75" s="489"/>
    </row>
    <row r="76" spans="3:31" ht="16.2" customHeight="1">
      <c r="C76" s="489"/>
      <c r="D76" s="489"/>
      <c r="E76" s="217"/>
      <c r="F76" s="224"/>
      <c r="G76" s="224"/>
      <c r="H76" s="224"/>
      <c r="I76" s="489"/>
      <c r="J76" s="489"/>
      <c r="K76" s="217"/>
      <c r="L76" s="224"/>
      <c r="M76" s="224"/>
      <c r="N76" s="224"/>
      <c r="O76" s="489"/>
      <c r="P76" s="489"/>
      <c r="Q76" s="217"/>
      <c r="R76" s="224"/>
      <c r="S76" s="224"/>
      <c r="T76" s="224"/>
      <c r="U76" s="489"/>
      <c r="V76" s="489"/>
      <c r="W76" s="217"/>
      <c r="X76" s="489"/>
      <c r="Y76" s="489"/>
      <c r="Z76" s="489"/>
      <c r="AA76" s="489"/>
      <c r="AB76" s="489"/>
      <c r="AC76" s="224"/>
      <c r="AD76" s="224"/>
      <c r="AE76" s="489"/>
    </row>
    <row r="77" spans="3:31" ht="16.2" customHeight="1">
      <c r="C77" s="489"/>
      <c r="D77" s="489"/>
      <c r="E77" s="217"/>
      <c r="F77" s="224"/>
      <c r="G77" s="224"/>
      <c r="H77" s="224"/>
      <c r="I77" s="489"/>
      <c r="J77" s="489"/>
      <c r="K77" s="217"/>
      <c r="L77" s="224"/>
      <c r="M77" s="224"/>
      <c r="N77" s="224"/>
      <c r="O77" s="489"/>
      <c r="P77" s="489"/>
      <c r="Q77" s="217"/>
      <c r="R77" s="224"/>
      <c r="S77" s="224"/>
      <c r="T77" s="224"/>
      <c r="U77" s="489"/>
      <c r="V77" s="489"/>
      <c r="W77" s="217"/>
      <c r="X77" s="489"/>
      <c r="Y77" s="489"/>
      <c r="Z77" s="489"/>
      <c r="AA77" s="489"/>
      <c r="AB77" s="489"/>
      <c r="AC77" s="224"/>
      <c r="AD77" s="224"/>
      <c r="AE77" s="489"/>
    </row>
    <row r="78" spans="3:31" ht="16.2" customHeight="1">
      <c r="C78" s="489"/>
      <c r="D78" s="489"/>
      <c r="E78" s="217"/>
      <c r="F78" s="224"/>
      <c r="G78" s="224"/>
      <c r="H78" s="224"/>
      <c r="I78" s="489"/>
      <c r="J78" s="489"/>
      <c r="K78" s="217"/>
      <c r="L78" s="224"/>
      <c r="M78" s="224"/>
      <c r="N78" s="224"/>
      <c r="O78" s="489"/>
      <c r="P78" s="489"/>
      <c r="Q78" s="217"/>
      <c r="R78" s="224"/>
      <c r="S78" s="224"/>
      <c r="T78" s="224"/>
      <c r="U78" s="489"/>
      <c r="V78" s="489"/>
      <c r="W78" s="217"/>
      <c r="X78" s="489"/>
      <c r="Y78" s="489"/>
      <c r="Z78" s="489"/>
      <c r="AA78" s="489"/>
      <c r="AB78" s="489"/>
      <c r="AC78" s="224"/>
      <c r="AD78" s="224"/>
      <c r="AE78" s="489"/>
    </row>
    <row r="79" spans="3:31" ht="16.2" customHeight="1">
      <c r="C79" s="489"/>
      <c r="D79" s="489"/>
      <c r="E79" s="217"/>
      <c r="F79" s="224"/>
      <c r="G79" s="224"/>
      <c r="H79" s="224"/>
      <c r="I79" s="489"/>
      <c r="J79" s="489"/>
      <c r="K79" s="217"/>
      <c r="L79" s="224"/>
      <c r="M79" s="224"/>
      <c r="N79" s="224"/>
      <c r="O79" s="489"/>
      <c r="P79" s="489"/>
      <c r="Q79" s="217"/>
      <c r="R79" s="224"/>
      <c r="S79" s="224"/>
      <c r="T79" s="224"/>
      <c r="U79" s="489"/>
      <c r="V79" s="489"/>
      <c r="W79" s="217"/>
      <c r="X79" s="489"/>
      <c r="Y79" s="489"/>
      <c r="Z79" s="489"/>
      <c r="AA79" s="489"/>
      <c r="AB79" s="489"/>
      <c r="AC79" s="224"/>
      <c r="AD79" s="224"/>
      <c r="AE79" s="489"/>
    </row>
    <row r="80" spans="3:31" ht="16.2" customHeight="1">
      <c r="C80" s="489"/>
      <c r="D80" s="489"/>
      <c r="E80" s="217"/>
      <c r="F80" s="224"/>
      <c r="G80" s="224"/>
      <c r="H80" s="224"/>
      <c r="I80" s="489"/>
      <c r="J80" s="489"/>
      <c r="K80" s="217"/>
      <c r="L80" s="224"/>
      <c r="M80" s="224"/>
      <c r="N80" s="224"/>
      <c r="O80" s="489"/>
      <c r="P80" s="489"/>
      <c r="Q80" s="217"/>
      <c r="R80" s="224"/>
      <c r="S80" s="224"/>
      <c r="T80" s="224"/>
      <c r="U80" s="489"/>
      <c r="V80" s="489"/>
      <c r="W80" s="217"/>
      <c r="X80" s="489"/>
      <c r="Y80" s="489"/>
      <c r="Z80" s="489"/>
      <c r="AA80" s="489"/>
      <c r="AB80" s="489"/>
      <c r="AC80" s="224"/>
      <c r="AD80" s="224"/>
      <c r="AE80" s="489"/>
    </row>
    <row r="81" spans="3:31" ht="16.2" customHeight="1">
      <c r="C81" s="489"/>
      <c r="D81" s="489"/>
      <c r="E81" s="217"/>
      <c r="F81" s="224"/>
      <c r="G81" s="224"/>
      <c r="H81" s="224"/>
      <c r="I81" s="489"/>
      <c r="J81" s="489"/>
      <c r="K81" s="217"/>
      <c r="L81" s="224"/>
      <c r="M81" s="224"/>
      <c r="N81" s="224"/>
      <c r="O81" s="489"/>
      <c r="P81" s="489"/>
      <c r="Q81" s="217"/>
      <c r="R81" s="224"/>
      <c r="S81" s="224"/>
      <c r="T81" s="224"/>
      <c r="U81" s="489"/>
      <c r="V81" s="489"/>
      <c r="W81" s="217"/>
      <c r="X81" s="489"/>
      <c r="Y81" s="489"/>
      <c r="Z81" s="489"/>
      <c r="AA81" s="489"/>
      <c r="AB81" s="489"/>
      <c r="AC81" s="224"/>
      <c r="AD81" s="224"/>
      <c r="AE81" s="489"/>
    </row>
    <row r="82" spans="3:31" ht="16.2" customHeight="1">
      <c r="C82" s="489"/>
      <c r="D82" s="489"/>
      <c r="E82" s="217"/>
      <c r="F82" s="224"/>
      <c r="G82" s="224"/>
      <c r="H82" s="224"/>
      <c r="I82" s="489"/>
      <c r="J82" s="489"/>
      <c r="K82" s="217"/>
      <c r="L82" s="224"/>
      <c r="M82" s="224"/>
      <c r="N82" s="224"/>
      <c r="O82" s="489"/>
      <c r="P82" s="489"/>
      <c r="Q82" s="217"/>
      <c r="R82" s="224"/>
      <c r="S82" s="224"/>
      <c r="T82" s="224"/>
      <c r="U82" s="489"/>
      <c r="V82" s="489"/>
      <c r="W82" s="217"/>
      <c r="X82" s="489"/>
      <c r="Y82" s="489"/>
      <c r="Z82" s="489"/>
      <c r="AA82" s="489"/>
      <c r="AB82" s="489"/>
      <c r="AC82" s="224"/>
      <c r="AD82" s="224"/>
      <c r="AE82" s="489"/>
    </row>
    <row r="83" spans="3:31" ht="16.2" customHeight="1">
      <c r="C83" s="489"/>
      <c r="D83" s="489"/>
      <c r="E83" s="217"/>
      <c r="F83" s="224"/>
      <c r="G83" s="224"/>
      <c r="H83" s="224"/>
      <c r="I83" s="489"/>
      <c r="J83" s="489"/>
      <c r="K83" s="217"/>
      <c r="L83" s="224"/>
      <c r="M83" s="224"/>
      <c r="N83" s="224"/>
      <c r="O83" s="489"/>
      <c r="P83" s="489"/>
      <c r="Q83" s="217"/>
      <c r="R83" s="224"/>
      <c r="S83" s="224"/>
      <c r="T83" s="224"/>
      <c r="U83" s="489"/>
      <c r="V83" s="489"/>
      <c r="W83" s="217"/>
      <c r="X83" s="489"/>
      <c r="Y83" s="489"/>
      <c r="Z83" s="489"/>
      <c r="AA83" s="489"/>
      <c r="AB83" s="489"/>
      <c r="AC83" s="224"/>
      <c r="AD83" s="224"/>
      <c r="AE83" s="489"/>
    </row>
    <row r="84" spans="3:31" ht="16.2" customHeight="1">
      <c r="C84" s="489"/>
      <c r="D84" s="489"/>
      <c r="E84" s="217"/>
      <c r="F84" s="224"/>
      <c r="G84" s="224"/>
      <c r="H84" s="224"/>
      <c r="I84" s="489"/>
      <c r="J84" s="489"/>
      <c r="K84" s="217"/>
      <c r="L84" s="224"/>
      <c r="M84" s="224"/>
      <c r="N84" s="224"/>
      <c r="O84" s="489"/>
      <c r="P84" s="489"/>
      <c r="Q84" s="217"/>
      <c r="R84" s="224"/>
      <c r="S84" s="224"/>
      <c r="T84" s="224"/>
      <c r="U84" s="489"/>
      <c r="V84" s="489"/>
      <c r="W84" s="217"/>
      <c r="X84" s="489"/>
      <c r="Y84" s="489"/>
      <c r="Z84" s="489"/>
      <c r="AA84" s="489"/>
      <c r="AB84" s="489"/>
      <c r="AC84" s="224"/>
      <c r="AD84" s="224"/>
      <c r="AE84" s="489"/>
    </row>
    <row r="85" spans="3:31" ht="16.2" customHeight="1">
      <c r="C85" s="489"/>
      <c r="D85" s="489"/>
      <c r="E85" s="217"/>
      <c r="F85" s="224"/>
      <c r="G85" s="224"/>
      <c r="H85" s="224"/>
      <c r="I85" s="489"/>
      <c r="J85" s="489"/>
      <c r="K85" s="217"/>
      <c r="L85" s="224"/>
      <c r="M85" s="224"/>
      <c r="N85" s="224"/>
      <c r="O85" s="489"/>
      <c r="P85" s="489"/>
      <c r="Q85" s="217"/>
      <c r="R85" s="224"/>
      <c r="S85" s="224"/>
      <c r="T85" s="224"/>
      <c r="U85" s="489"/>
      <c r="V85" s="489"/>
      <c r="W85" s="217"/>
      <c r="X85" s="489"/>
      <c r="Y85" s="489"/>
      <c r="Z85" s="489"/>
      <c r="AA85" s="489"/>
      <c r="AB85" s="489"/>
      <c r="AC85" s="224"/>
      <c r="AD85" s="224"/>
      <c r="AE85" s="489"/>
    </row>
    <row r="86" spans="3:31" ht="16.2" customHeight="1">
      <c r="C86" s="489"/>
      <c r="D86" s="489"/>
      <c r="E86" s="217"/>
      <c r="F86" s="224"/>
      <c r="G86" s="224"/>
      <c r="H86" s="224"/>
      <c r="I86" s="489"/>
      <c r="J86" s="489"/>
      <c r="K86" s="217"/>
      <c r="L86" s="224"/>
      <c r="M86" s="224"/>
      <c r="N86" s="224"/>
      <c r="O86" s="489"/>
      <c r="P86" s="489"/>
      <c r="Q86" s="217"/>
      <c r="R86" s="224"/>
      <c r="S86" s="224"/>
      <c r="T86" s="224"/>
      <c r="U86" s="489"/>
      <c r="V86" s="489"/>
      <c r="W86" s="217"/>
      <c r="X86" s="489"/>
      <c r="Y86" s="489"/>
      <c r="Z86" s="489"/>
      <c r="AA86" s="489"/>
      <c r="AB86" s="489"/>
      <c r="AC86" s="224"/>
      <c r="AD86" s="224"/>
      <c r="AE86" s="489"/>
    </row>
    <row r="87" spans="3:31" ht="16.2" customHeight="1">
      <c r="C87" s="489"/>
      <c r="D87" s="489"/>
      <c r="E87" s="217"/>
      <c r="F87" s="224"/>
      <c r="G87" s="224"/>
      <c r="H87" s="224"/>
      <c r="I87" s="489"/>
      <c r="J87" s="489"/>
      <c r="K87" s="217"/>
      <c r="L87" s="224"/>
      <c r="M87" s="224"/>
      <c r="N87" s="224"/>
      <c r="O87" s="489"/>
      <c r="P87" s="489"/>
      <c r="Q87" s="217"/>
      <c r="R87" s="224"/>
      <c r="S87" s="224"/>
      <c r="T87" s="224"/>
      <c r="U87" s="489"/>
      <c r="V87" s="489"/>
      <c r="W87" s="217"/>
      <c r="X87" s="489"/>
      <c r="Y87" s="489"/>
      <c r="Z87" s="489"/>
      <c r="AA87" s="489"/>
      <c r="AB87" s="489"/>
      <c r="AC87" s="224"/>
      <c r="AD87" s="224"/>
      <c r="AE87" s="489"/>
    </row>
    <row r="88" spans="3:31" ht="16.2" customHeight="1">
      <c r="C88" s="489"/>
      <c r="D88" s="489"/>
      <c r="E88" s="217"/>
      <c r="F88" s="224"/>
      <c r="G88" s="224"/>
      <c r="H88" s="224"/>
      <c r="I88" s="489"/>
      <c r="J88" s="489"/>
      <c r="K88" s="217"/>
      <c r="L88" s="224"/>
      <c r="M88" s="224"/>
      <c r="N88" s="224"/>
      <c r="O88" s="489"/>
      <c r="P88" s="489"/>
      <c r="Q88" s="217"/>
      <c r="R88" s="224"/>
      <c r="S88" s="224"/>
      <c r="T88" s="224"/>
      <c r="U88" s="489"/>
      <c r="V88" s="489"/>
      <c r="W88" s="217"/>
      <c r="X88" s="489"/>
      <c r="Y88" s="489"/>
      <c r="Z88" s="489"/>
      <c r="AA88" s="489"/>
      <c r="AB88" s="489"/>
      <c r="AC88" s="224"/>
      <c r="AD88" s="224"/>
      <c r="AE88" s="489"/>
    </row>
    <row r="89" spans="3:31" ht="16.2" customHeight="1">
      <c r="C89" s="489"/>
      <c r="D89" s="489"/>
      <c r="E89" s="217"/>
      <c r="F89" s="224"/>
      <c r="G89" s="224"/>
      <c r="H89" s="224"/>
      <c r="I89" s="489"/>
      <c r="J89" s="489"/>
      <c r="K89" s="217"/>
      <c r="L89" s="224"/>
      <c r="M89" s="224"/>
      <c r="N89" s="224"/>
      <c r="O89" s="489"/>
      <c r="P89" s="489"/>
      <c r="Q89" s="217"/>
      <c r="R89" s="224"/>
      <c r="S89" s="224"/>
      <c r="T89" s="224"/>
      <c r="U89" s="489"/>
      <c r="V89" s="489"/>
      <c r="W89" s="217"/>
      <c r="X89" s="489"/>
      <c r="Y89" s="489"/>
      <c r="Z89" s="489"/>
      <c r="AA89" s="489"/>
      <c r="AB89" s="489"/>
      <c r="AC89" s="224"/>
      <c r="AD89" s="224"/>
      <c r="AE89" s="489"/>
    </row>
    <row r="90" spans="3:31" ht="16.2" customHeight="1">
      <c r="C90" s="489"/>
      <c r="D90" s="489"/>
      <c r="E90" s="217"/>
      <c r="F90" s="224"/>
      <c r="G90" s="224"/>
      <c r="H90" s="224"/>
      <c r="I90" s="489"/>
      <c r="J90" s="489"/>
      <c r="K90" s="217"/>
      <c r="L90" s="224"/>
      <c r="M90" s="224"/>
      <c r="N90" s="224"/>
      <c r="O90" s="489"/>
      <c r="P90" s="489"/>
      <c r="Q90" s="217"/>
      <c r="R90" s="224"/>
      <c r="S90" s="224"/>
      <c r="T90" s="224"/>
      <c r="U90" s="489"/>
      <c r="V90" s="489"/>
      <c r="W90" s="217"/>
      <c r="X90" s="489"/>
      <c r="Y90" s="489"/>
      <c r="Z90" s="489"/>
      <c r="AA90" s="489"/>
      <c r="AB90" s="489"/>
      <c r="AC90" s="224"/>
      <c r="AD90" s="224"/>
      <c r="AE90" s="489"/>
    </row>
    <row r="91" spans="3:31" ht="16.2" customHeight="1">
      <c r="C91" s="489"/>
      <c r="D91" s="489"/>
      <c r="E91" s="217"/>
      <c r="F91" s="224"/>
      <c r="G91" s="224"/>
      <c r="H91" s="224"/>
      <c r="I91" s="489"/>
      <c r="J91" s="489"/>
      <c r="K91" s="217"/>
      <c r="L91" s="224"/>
      <c r="M91" s="224"/>
      <c r="N91" s="224"/>
      <c r="O91" s="489"/>
      <c r="P91" s="489"/>
      <c r="Q91" s="217"/>
      <c r="R91" s="224"/>
      <c r="S91" s="224"/>
      <c r="T91" s="224"/>
      <c r="U91" s="489"/>
      <c r="V91" s="489"/>
      <c r="W91" s="217"/>
      <c r="X91" s="489"/>
      <c r="Y91" s="489"/>
      <c r="Z91" s="489"/>
      <c r="AA91" s="489"/>
      <c r="AB91" s="489"/>
      <c r="AC91" s="224"/>
      <c r="AD91" s="224"/>
      <c r="AE91" s="489"/>
    </row>
    <row r="92" spans="3:31" ht="16.2" customHeight="1">
      <c r="C92" s="489"/>
      <c r="D92" s="489"/>
      <c r="E92" s="217"/>
      <c r="F92" s="224"/>
      <c r="G92" s="224"/>
      <c r="H92" s="224"/>
      <c r="I92" s="489"/>
      <c r="J92" s="489"/>
      <c r="K92" s="217"/>
      <c r="L92" s="224"/>
      <c r="M92" s="224"/>
      <c r="N92" s="224"/>
      <c r="O92" s="489"/>
      <c r="P92" s="489"/>
      <c r="Q92" s="217"/>
      <c r="R92" s="224"/>
      <c r="S92" s="224"/>
      <c r="T92" s="224"/>
      <c r="U92" s="489"/>
      <c r="V92" s="489"/>
      <c r="W92" s="217"/>
      <c r="X92" s="489"/>
      <c r="Y92" s="489"/>
      <c r="Z92" s="489"/>
      <c r="AA92" s="489"/>
      <c r="AB92" s="489"/>
      <c r="AC92" s="224"/>
      <c r="AD92" s="224"/>
      <c r="AE92" s="489"/>
    </row>
    <row r="93" spans="3:31" ht="16.2" customHeight="1">
      <c r="C93" s="489"/>
      <c r="D93" s="489"/>
      <c r="E93" s="217"/>
      <c r="F93" s="224"/>
      <c r="G93" s="224"/>
      <c r="H93" s="224"/>
      <c r="I93" s="489"/>
      <c r="J93" s="489"/>
      <c r="K93" s="217"/>
      <c r="L93" s="224"/>
      <c r="M93" s="224"/>
      <c r="N93" s="224"/>
      <c r="O93" s="489"/>
      <c r="P93" s="489"/>
      <c r="Q93" s="217"/>
      <c r="R93" s="224"/>
      <c r="S93" s="224"/>
      <c r="T93" s="224"/>
      <c r="U93" s="489"/>
      <c r="V93" s="489"/>
      <c r="W93" s="217"/>
      <c r="X93" s="489"/>
      <c r="Y93" s="489"/>
      <c r="Z93" s="489"/>
      <c r="AA93" s="489"/>
      <c r="AB93" s="489"/>
      <c r="AC93" s="224"/>
      <c r="AD93" s="224"/>
      <c r="AE93" s="489"/>
    </row>
    <row r="94" spans="3:31" ht="16.2" customHeight="1">
      <c r="C94" s="489"/>
      <c r="D94" s="489"/>
      <c r="E94" s="217"/>
      <c r="F94" s="224"/>
      <c r="G94" s="224"/>
      <c r="H94" s="224"/>
      <c r="I94" s="489"/>
      <c r="J94" s="489"/>
      <c r="K94" s="217"/>
      <c r="L94" s="224"/>
      <c r="M94" s="224"/>
      <c r="N94" s="224"/>
      <c r="O94" s="489"/>
      <c r="P94" s="489"/>
      <c r="Q94" s="217"/>
      <c r="R94" s="224"/>
      <c r="S94" s="224"/>
      <c r="T94" s="224"/>
      <c r="U94" s="489"/>
      <c r="V94" s="489"/>
      <c r="W94" s="217"/>
      <c r="X94" s="489"/>
      <c r="Y94" s="489"/>
      <c r="Z94" s="489"/>
      <c r="AA94" s="489"/>
      <c r="AB94" s="489"/>
      <c r="AC94" s="224"/>
      <c r="AD94" s="224"/>
      <c r="AE94" s="489"/>
    </row>
    <row r="95" spans="3:31" ht="16.2" customHeight="1">
      <c r="C95" s="489"/>
      <c r="D95" s="489"/>
      <c r="E95" s="217"/>
      <c r="F95" s="224"/>
      <c r="G95" s="224"/>
      <c r="H95" s="224"/>
      <c r="I95" s="489"/>
      <c r="J95" s="489"/>
      <c r="K95" s="217"/>
      <c r="L95" s="224"/>
      <c r="M95" s="224"/>
      <c r="N95" s="224"/>
      <c r="O95" s="489"/>
      <c r="P95" s="489"/>
      <c r="Q95" s="217"/>
      <c r="R95" s="224"/>
      <c r="S95" s="224"/>
      <c r="T95" s="224"/>
      <c r="U95" s="489"/>
      <c r="V95" s="489"/>
      <c r="W95" s="217"/>
      <c r="X95" s="489"/>
      <c r="Y95" s="489"/>
      <c r="Z95" s="489"/>
      <c r="AA95" s="489"/>
      <c r="AB95" s="489"/>
      <c r="AC95" s="224"/>
      <c r="AD95" s="224"/>
      <c r="AE95" s="489"/>
    </row>
    <row r="96" spans="3:31" ht="16.2" customHeight="1">
      <c r="C96" s="489"/>
      <c r="D96" s="489"/>
      <c r="E96" s="217"/>
      <c r="F96" s="224"/>
      <c r="G96" s="224"/>
      <c r="H96" s="224"/>
      <c r="I96" s="489"/>
      <c r="J96" s="489"/>
      <c r="K96" s="217"/>
      <c r="L96" s="224"/>
      <c r="M96" s="224"/>
      <c r="N96" s="224"/>
      <c r="O96" s="489"/>
      <c r="P96" s="489"/>
      <c r="Q96" s="217"/>
      <c r="R96" s="224"/>
      <c r="S96" s="224"/>
      <c r="T96" s="224"/>
      <c r="U96" s="489"/>
      <c r="V96" s="489"/>
      <c r="W96" s="217"/>
      <c r="X96" s="489"/>
      <c r="Y96" s="489"/>
      <c r="Z96" s="489"/>
      <c r="AA96" s="489"/>
      <c r="AB96" s="489"/>
      <c r="AC96" s="224"/>
      <c r="AD96" s="224"/>
      <c r="AE96" s="489"/>
    </row>
    <row r="97" spans="3:31" ht="16.2" customHeight="1">
      <c r="C97" s="489"/>
      <c r="D97" s="489"/>
      <c r="E97" s="217"/>
      <c r="F97" s="224"/>
      <c r="G97" s="224"/>
      <c r="H97" s="224"/>
      <c r="I97" s="489"/>
      <c r="J97" s="489"/>
      <c r="K97" s="217"/>
      <c r="L97" s="224"/>
      <c r="M97" s="224"/>
      <c r="N97" s="224"/>
      <c r="O97" s="489"/>
      <c r="P97" s="489"/>
      <c r="Q97" s="217"/>
      <c r="R97" s="224"/>
      <c r="S97" s="224"/>
      <c r="T97" s="224"/>
      <c r="U97" s="489"/>
      <c r="V97" s="489"/>
      <c r="W97" s="217"/>
      <c r="X97" s="489"/>
      <c r="Y97" s="489"/>
      <c r="Z97" s="489"/>
      <c r="AA97" s="489"/>
      <c r="AB97" s="489"/>
      <c r="AC97" s="224"/>
      <c r="AD97" s="224"/>
      <c r="AE97" s="489"/>
    </row>
    <row r="98" spans="3:31" ht="16.2" customHeight="1">
      <c r="C98" s="489"/>
      <c r="D98" s="489"/>
      <c r="E98" s="217"/>
      <c r="F98" s="224"/>
      <c r="G98" s="224"/>
      <c r="H98" s="224"/>
      <c r="I98" s="489"/>
      <c r="J98" s="489"/>
      <c r="K98" s="217"/>
      <c r="L98" s="224"/>
      <c r="M98" s="224"/>
      <c r="N98" s="224"/>
      <c r="O98" s="489"/>
      <c r="P98" s="489"/>
      <c r="Q98" s="217"/>
      <c r="R98" s="224"/>
      <c r="S98" s="224"/>
      <c r="T98" s="224"/>
      <c r="U98" s="489"/>
      <c r="V98" s="489"/>
      <c r="W98" s="217"/>
      <c r="X98" s="489"/>
      <c r="Y98" s="489"/>
      <c r="Z98" s="489"/>
      <c r="AA98" s="489"/>
      <c r="AB98" s="489"/>
      <c r="AC98" s="224"/>
      <c r="AD98" s="224"/>
      <c r="AE98" s="489"/>
    </row>
    <row r="99" spans="3:31" ht="16.2" customHeight="1">
      <c r="C99" s="489"/>
      <c r="D99" s="489"/>
      <c r="E99" s="217"/>
      <c r="F99" s="224"/>
      <c r="G99" s="224"/>
      <c r="H99" s="224"/>
      <c r="I99" s="489"/>
      <c r="J99" s="489"/>
      <c r="K99" s="217"/>
      <c r="L99" s="224"/>
      <c r="M99" s="224"/>
      <c r="N99" s="224"/>
      <c r="O99" s="489"/>
      <c r="P99" s="489"/>
      <c r="Q99" s="217"/>
      <c r="R99" s="224"/>
      <c r="S99" s="224"/>
      <c r="T99" s="224"/>
      <c r="U99" s="489"/>
      <c r="V99" s="489"/>
      <c r="W99" s="217"/>
      <c r="X99" s="489"/>
      <c r="Y99" s="489"/>
      <c r="Z99" s="489"/>
      <c r="AA99" s="489"/>
      <c r="AB99" s="489"/>
      <c r="AC99" s="224"/>
      <c r="AD99" s="224"/>
      <c r="AE99" s="489"/>
    </row>
    <row r="100" spans="3:31" ht="16.2" customHeight="1">
      <c r="C100" s="489"/>
      <c r="D100" s="489"/>
      <c r="E100" s="217"/>
      <c r="F100" s="224"/>
      <c r="G100" s="224"/>
      <c r="H100" s="224"/>
      <c r="I100" s="489"/>
      <c r="J100" s="489"/>
      <c r="K100" s="217"/>
      <c r="L100" s="224"/>
      <c r="M100" s="224"/>
      <c r="N100" s="224"/>
      <c r="O100" s="489"/>
      <c r="P100" s="489"/>
      <c r="Q100" s="217"/>
      <c r="R100" s="224"/>
      <c r="S100" s="224"/>
      <c r="T100" s="224"/>
      <c r="U100" s="489"/>
      <c r="V100" s="489"/>
      <c r="W100" s="217"/>
      <c r="X100" s="489"/>
      <c r="Y100" s="489"/>
      <c r="Z100" s="489"/>
      <c r="AA100" s="489"/>
      <c r="AB100" s="489"/>
      <c r="AC100" s="224"/>
      <c r="AD100" s="224"/>
      <c r="AE100" s="489"/>
    </row>
    <row r="101" spans="3:31" ht="16.2" customHeight="1">
      <c r="C101" s="489"/>
      <c r="D101" s="489"/>
      <c r="E101" s="217"/>
      <c r="F101" s="224"/>
      <c r="G101" s="224"/>
      <c r="H101" s="224"/>
      <c r="I101" s="489"/>
      <c r="J101" s="489"/>
      <c r="K101" s="217"/>
      <c r="L101" s="224"/>
      <c r="M101" s="224"/>
      <c r="N101" s="224"/>
      <c r="O101" s="489"/>
      <c r="P101" s="489"/>
      <c r="Q101" s="217"/>
      <c r="R101" s="224"/>
      <c r="S101" s="224"/>
      <c r="T101" s="224"/>
      <c r="U101" s="489"/>
      <c r="V101" s="489"/>
      <c r="W101" s="217"/>
      <c r="X101" s="489"/>
      <c r="Y101" s="489"/>
      <c r="Z101" s="489"/>
      <c r="AA101" s="489"/>
      <c r="AB101" s="489"/>
      <c r="AC101" s="224"/>
      <c r="AD101" s="224"/>
      <c r="AE101" s="489"/>
    </row>
    <row r="102" spans="3:31" ht="16.2" customHeight="1">
      <c r="C102" s="489"/>
      <c r="D102" s="489"/>
      <c r="E102" s="217"/>
      <c r="F102" s="224"/>
      <c r="G102" s="224"/>
      <c r="H102" s="224"/>
      <c r="I102" s="489"/>
      <c r="J102" s="489"/>
      <c r="K102" s="217"/>
      <c r="L102" s="224"/>
      <c r="M102" s="224"/>
      <c r="N102" s="224"/>
      <c r="O102" s="489"/>
      <c r="P102" s="489"/>
      <c r="Q102" s="217"/>
      <c r="R102" s="224"/>
      <c r="S102" s="224"/>
      <c r="T102" s="224"/>
      <c r="U102" s="489"/>
      <c r="V102" s="489"/>
      <c r="W102" s="217"/>
      <c r="X102" s="489"/>
      <c r="Y102" s="489"/>
      <c r="Z102" s="489"/>
      <c r="AA102" s="489"/>
      <c r="AB102" s="489"/>
      <c r="AC102" s="224"/>
      <c r="AD102" s="224"/>
      <c r="AE102" s="489"/>
    </row>
    <row r="103" spans="3:31" ht="16.2" customHeight="1">
      <c r="C103" s="489"/>
      <c r="D103" s="489"/>
      <c r="E103" s="217"/>
      <c r="F103" s="224"/>
      <c r="G103" s="224"/>
      <c r="H103" s="224"/>
      <c r="I103" s="489"/>
      <c r="J103" s="489"/>
      <c r="K103" s="217"/>
      <c r="L103" s="224"/>
      <c r="M103" s="224"/>
      <c r="N103" s="224"/>
      <c r="O103" s="489"/>
      <c r="P103" s="489"/>
      <c r="Q103" s="217"/>
      <c r="R103" s="224"/>
      <c r="S103" s="224"/>
      <c r="T103" s="224"/>
      <c r="U103" s="489"/>
      <c r="V103" s="489"/>
      <c r="W103" s="217"/>
      <c r="X103" s="489"/>
      <c r="Y103" s="489"/>
      <c r="Z103" s="489"/>
      <c r="AA103" s="489"/>
      <c r="AB103" s="489"/>
      <c r="AC103" s="224"/>
      <c r="AD103" s="224"/>
      <c r="AE103" s="489"/>
    </row>
    <row r="104" spans="3:31" ht="16.2" customHeight="1">
      <c r="C104" s="489"/>
      <c r="D104" s="489"/>
      <c r="E104" s="217"/>
      <c r="F104" s="224"/>
      <c r="G104" s="224"/>
      <c r="H104" s="224"/>
      <c r="I104" s="489"/>
      <c r="J104" s="489"/>
      <c r="K104" s="217"/>
      <c r="L104" s="224"/>
      <c r="M104" s="224"/>
      <c r="N104" s="224"/>
      <c r="O104" s="489"/>
      <c r="P104" s="489"/>
      <c r="Q104" s="217"/>
      <c r="R104" s="224"/>
      <c r="S104" s="224"/>
      <c r="T104" s="224"/>
      <c r="U104" s="489"/>
      <c r="V104" s="489"/>
      <c r="W104" s="217"/>
      <c r="X104" s="489"/>
      <c r="Y104" s="489"/>
      <c r="Z104" s="489"/>
      <c r="AA104" s="489"/>
      <c r="AB104" s="489"/>
      <c r="AC104" s="224"/>
      <c r="AD104" s="224"/>
      <c r="AE104" s="489"/>
    </row>
  </sheetData>
  <sheetProtection formatCells="0"/>
  <mergeCells count="14">
    <mergeCell ref="AA7:AE8"/>
    <mergeCell ref="C2:F3"/>
    <mergeCell ref="AA10:AD10"/>
    <mergeCell ref="W5:X5"/>
    <mergeCell ref="D5:L6"/>
    <mergeCell ref="C10:F10"/>
    <mergeCell ref="I10:L10"/>
    <mergeCell ref="O10:R10"/>
    <mergeCell ref="U10:X10"/>
    <mergeCell ref="W7:X7"/>
    <mergeCell ref="D7:L8"/>
    <mergeCell ref="P5:V6"/>
    <mergeCell ref="P7:Q8"/>
    <mergeCell ref="AA5:AC6"/>
  </mergeCells>
  <phoneticPr fontId="2"/>
  <conditionalFormatting sqref="F13">
    <cfRule type="cellIs" dxfId="37" priority="2" operator="greaterThan">
      <formula>D13</formula>
    </cfRule>
  </conditionalFormatting>
  <conditionalFormatting sqref="F14:F18 L13:L16 R13:R15 X13:X17 X23:X25 R23:R25 L23:L27 F23:F25">
    <cfRule type="cellIs" dxfId="36" priority="1" operator="greaterThan">
      <formula>D13</formula>
    </cfRule>
  </conditionalFormatting>
  <hyperlinks>
    <hyperlink ref="C2:F3" location="提案表紙!A1" display="大阪府折込資料表" xr:uid="{00000000-0004-0000-0C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&amp;L住吉区・東住吉区&amp;RP-9/34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6">
    <tabColor rgb="FFB6D2F5"/>
    <pageSetUpPr fitToPage="1"/>
  </sheetPr>
  <dimension ref="A1:AE120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E4"/>
      <c r="F4"/>
      <c r="G4"/>
      <c r="H4"/>
      <c r="I4" s="187">
        <v>45717</v>
      </c>
      <c r="J4" s="186" t="s">
        <v>0</v>
      </c>
      <c r="K4" t="s">
        <v>604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674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675</v>
      </c>
      <c r="P7" s="827">
        <f>提案表紙!G9</f>
        <v>0</v>
      </c>
      <c r="Q7" s="828"/>
      <c r="R7" s="7" t="s">
        <v>676</v>
      </c>
      <c r="S7"/>
      <c r="T7"/>
      <c r="U7" s="410">
        <f>大阪市住之江区折込部数+大阪市平野区折込部数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688</v>
      </c>
      <c r="D11" s="504" t="s">
        <v>689</v>
      </c>
      <c r="E11" s="319" t="s">
        <v>690</v>
      </c>
      <c r="F11" s="505" t="s">
        <v>212</v>
      </c>
      <c r="G11" s="51"/>
      <c r="H11" s="51"/>
      <c r="I11" s="503" t="s">
        <v>688</v>
      </c>
      <c r="J11" s="504" t="s">
        <v>689</v>
      </c>
      <c r="K11" s="319" t="s">
        <v>690</v>
      </c>
      <c r="L11" s="505" t="s">
        <v>212</v>
      </c>
      <c r="M11" s="51"/>
      <c r="N11" s="51"/>
      <c r="O11" s="503" t="s">
        <v>688</v>
      </c>
      <c r="P11" s="504" t="s">
        <v>689</v>
      </c>
      <c r="Q11" s="319" t="s">
        <v>690</v>
      </c>
      <c r="R11" s="505" t="s">
        <v>212</v>
      </c>
      <c r="S11" s="51"/>
      <c r="T11" s="51"/>
      <c r="U11" s="503" t="s">
        <v>688</v>
      </c>
      <c r="V11" s="504" t="s">
        <v>689</v>
      </c>
      <c r="W11" s="319" t="s">
        <v>690</v>
      </c>
      <c r="X11" s="505" t="s">
        <v>212</v>
      </c>
      <c r="Y11" s="51"/>
      <c r="Z11" s="51"/>
      <c r="AA11" s="503" t="s">
        <v>688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1407</v>
      </c>
      <c r="C12" s="46" t="s">
        <v>910</v>
      </c>
      <c r="E12" s="217"/>
      <c r="F12" s="224"/>
      <c r="G12" s="51">
        <v>2</v>
      </c>
      <c r="H12" s="488" t="s">
        <v>1407</v>
      </c>
      <c r="I12" s="489"/>
      <c r="J12" s="489"/>
      <c r="K12" s="217"/>
      <c r="L12" s="224"/>
      <c r="M12" s="51">
        <v>2</v>
      </c>
      <c r="N12" s="488" t="s">
        <v>1407</v>
      </c>
      <c r="O12" s="489"/>
      <c r="P12" s="489"/>
      <c r="Q12" s="217"/>
      <c r="R12" s="224"/>
      <c r="S12" s="51">
        <v>2</v>
      </c>
      <c r="T12" s="488" t="s">
        <v>1407</v>
      </c>
      <c r="X12" s="224"/>
      <c r="Y12" s="51">
        <v>2</v>
      </c>
      <c r="Z12" s="488" t="s">
        <v>1407</v>
      </c>
      <c r="AA12" s="489"/>
      <c r="AB12" s="489"/>
      <c r="AD12" s="508"/>
      <c r="AE12" s="270"/>
    </row>
    <row r="13" spans="1:31" ht="16.2" customHeight="1">
      <c r="A13" s="51">
        <v>3</v>
      </c>
      <c r="B13" s="51">
        <v>72105</v>
      </c>
      <c r="C13" s="441" t="s">
        <v>850</v>
      </c>
      <c r="D13" s="148">
        <v>350</v>
      </c>
      <c r="E13" s="177"/>
      <c r="F13" s="404"/>
      <c r="G13" s="51">
        <v>3</v>
      </c>
      <c r="H13" s="51">
        <v>73123</v>
      </c>
      <c r="I13" s="441" t="s">
        <v>932</v>
      </c>
      <c r="J13" s="148">
        <v>1200</v>
      </c>
      <c r="K13" s="162"/>
      <c r="L13" s="404"/>
      <c r="M13" s="51">
        <v>3</v>
      </c>
      <c r="N13" s="51">
        <v>75129</v>
      </c>
      <c r="O13" s="441" t="s">
        <v>851</v>
      </c>
      <c r="P13" s="148">
        <v>600</v>
      </c>
      <c r="Q13" s="177"/>
      <c r="R13" s="404"/>
      <c r="S13" s="51">
        <v>3</v>
      </c>
      <c r="T13" s="51">
        <v>74147</v>
      </c>
      <c r="U13" s="441" t="s">
        <v>850</v>
      </c>
      <c r="V13" s="148">
        <v>1600</v>
      </c>
      <c r="W13" s="177"/>
      <c r="X13" s="404"/>
      <c r="Y13" s="51">
        <v>3</v>
      </c>
      <c r="Z13" s="51"/>
      <c r="AA13" s="703"/>
      <c r="AB13" s="215"/>
      <c r="AC13" s="177"/>
      <c r="AD13" s="129"/>
      <c r="AE13" s="704"/>
    </row>
    <row r="14" spans="1:31" ht="16.2" customHeight="1">
      <c r="A14" s="51">
        <v>3</v>
      </c>
      <c r="B14" s="51">
        <v>72109</v>
      </c>
      <c r="C14" s="386" t="s">
        <v>931</v>
      </c>
      <c r="D14" s="143">
        <v>800</v>
      </c>
      <c r="E14" s="146"/>
      <c r="F14" s="396"/>
      <c r="G14" s="51">
        <v>3</v>
      </c>
      <c r="H14" s="51">
        <v>73125</v>
      </c>
      <c r="I14" s="386" t="s">
        <v>850</v>
      </c>
      <c r="J14" s="149">
        <v>2050</v>
      </c>
      <c r="K14" s="146"/>
      <c r="L14" s="405"/>
      <c r="M14" s="51">
        <v>3</v>
      </c>
      <c r="N14" s="51">
        <v>75131</v>
      </c>
      <c r="O14" s="386" t="s">
        <v>931</v>
      </c>
      <c r="P14" s="143">
        <v>650</v>
      </c>
      <c r="Q14" s="146"/>
      <c r="R14" s="405"/>
      <c r="S14" s="51">
        <v>3</v>
      </c>
      <c r="T14" s="51">
        <v>74149</v>
      </c>
      <c r="U14" s="386" t="s">
        <v>1253</v>
      </c>
      <c r="V14" s="143">
        <v>2950</v>
      </c>
      <c r="W14" s="146"/>
      <c r="X14" s="405"/>
      <c r="Y14" s="51">
        <v>3</v>
      </c>
      <c r="Z14" s="51"/>
      <c r="AA14" s="520"/>
      <c r="AB14" s="208"/>
      <c r="AC14" s="138"/>
      <c r="AD14" s="133"/>
      <c r="AE14" s="706"/>
    </row>
    <row r="15" spans="1:31" ht="16.2" customHeight="1">
      <c r="A15" s="51">
        <v>3</v>
      </c>
      <c r="B15" s="51"/>
      <c r="C15" s="386"/>
      <c r="D15" s="143"/>
      <c r="E15" s="146"/>
      <c r="F15" s="405"/>
      <c r="G15" s="51">
        <v>3</v>
      </c>
      <c r="H15" s="51">
        <v>73127</v>
      </c>
      <c r="I15" s="386" t="s">
        <v>851</v>
      </c>
      <c r="J15" s="143">
        <v>1900</v>
      </c>
      <c r="K15" s="137"/>
      <c r="L15" s="405"/>
      <c r="M15" s="51">
        <v>3</v>
      </c>
      <c r="N15" s="51">
        <v>75132</v>
      </c>
      <c r="O15" s="386" t="s">
        <v>1588</v>
      </c>
      <c r="P15" s="143">
        <v>50</v>
      </c>
      <c r="Q15" s="146"/>
      <c r="R15" s="132"/>
      <c r="S15" s="51">
        <v>3</v>
      </c>
      <c r="T15" s="51">
        <v>74153</v>
      </c>
      <c r="U15" s="386" t="s">
        <v>1254</v>
      </c>
      <c r="V15" s="143">
        <v>900</v>
      </c>
      <c r="W15" s="146"/>
      <c r="X15" s="405"/>
      <c r="Y15" s="51">
        <v>3</v>
      </c>
      <c r="Z15" s="51"/>
      <c r="AA15" s="512"/>
      <c r="AB15" s="139"/>
      <c r="AC15" s="137"/>
      <c r="AD15" s="132"/>
      <c r="AE15" s="719"/>
    </row>
    <row r="16" spans="1:31" ht="16.2" customHeight="1">
      <c r="A16" s="51">
        <v>3</v>
      </c>
      <c r="B16" s="51"/>
      <c r="C16" s="512"/>
      <c r="D16" s="139"/>
      <c r="E16" s="146"/>
      <c r="F16" s="132"/>
      <c r="G16" s="51">
        <v>3</v>
      </c>
      <c r="H16" s="51">
        <v>73129</v>
      </c>
      <c r="I16" s="386" t="s">
        <v>931</v>
      </c>
      <c r="J16" s="143">
        <v>900</v>
      </c>
      <c r="K16" s="137"/>
      <c r="L16" s="405"/>
      <c r="M16" s="51">
        <v>3</v>
      </c>
      <c r="N16" s="51"/>
      <c r="O16" s="512"/>
      <c r="P16" s="139"/>
      <c r="Q16" s="137"/>
      <c r="R16" s="132"/>
      <c r="S16" s="51">
        <v>3</v>
      </c>
      <c r="T16" s="51"/>
      <c r="U16" s="386"/>
      <c r="V16" s="143"/>
      <c r="W16" s="146"/>
      <c r="X16" s="405"/>
      <c r="Y16" s="51">
        <v>3</v>
      </c>
      <c r="Z16" s="51"/>
      <c r="AA16" s="512"/>
      <c r="AB16" s="139"/>
      <c r="AC16" s="137"/>
      <c r="AD16" s="132"/>
      <c r="AE16" s="516"/>
    </row>
    <row r="17" spans="1:31" ht="16.2" customHeight="1">
      <c r="A17" s="51">
        <v>3</v>
      </c>
      <c r="B17" s="51"/>
      <c r="C17" s="512"/>
      <c r="D17" s="139"/>
      <c r="E17" s="146"/>
      <c r="F17" s="132"/>
      <c r="G17" s="51">
        <v>3</v>
      </c>
      <c r="H17" s="51"/>
      <c r="I17" s="512"/>
      <c r="J17" s="139"/>
      <c r="K17" s="137"/>
      <c r="L17" s="132"/>
      <c r="M17" s="51">
        <v>3</v>
      </c>
      <c r="N17" s="51"/>
      <c r="O17" s="512"/>
      <c r="P17" s="139"/>
      <c r="Q17" s="137"/>
      <c r="R17" s="132"/>
      <c r="S17" s="51">
        <v>3</v>
      </c>
      <c r="T17" s="51"/>
      <c r="U17" s="386"/>
      <c r="V17" s="143"/>
      <c r="W17" s="146"/>
      <c r="X17" s="405"/>
      <c r="Y17" s="51">
        <v>3</v>
      </c>
      <c r="Z17" s="51"/>
      <c r="AA17" s="561"/>
      <c r="AB17" s="515"/>
      <c r="AC17" s="515"/>
      <c r="AD17" s="147"/>
      <c r="AE17" s="516"/>
    </row>
    <row r="18" spans="1:31" ht="16.2" customHeight="1">
      <c r="A18" s="51">
        <v>3</v>
      </c>
      <c r="B18" s="51"/>
      <c r="C18" s="512"/>
      <c r="D18" s="139"/>
      <c r="E18" s="146"/>
      <c r="F18" s="132"/>
      <c r="G18" s="51">
        <v>3</v>
      </c>
      <c r="H18" s="51"/>
      <c r="I18" s="512"/>
      <c r="J18" s="139"/>
      <c r="K18" s="137"/>
      <c r="L18" s="132"/>
      <c r="M18" s="51">
        <v>3</v>
      </c>
      <c r="N18" s="51"/>
      <c r="O18" s="512"/>
      <c r="P18" s="139"/>
      <c r="Q18" s="137"/>
      <c r="R18" s="132"/>
      <c r="S18" s="51">
        <v>3</v>
      </c>
      <c r="T18" s="51"/>
      <c r="U18" s="386"/>
      <c r="V18" s="143"/>
      <c r="W18" s="146"/>
      <c r="X18" s="405"/>
      <c r="Y18" s="51">
        <v>3</v>
      </c>
      <c r="Z18" s="51"/>
      <c r="AA18" s="512"/>
      <c r="AB18" s="592"/>
      <c r="AC18" s="179"/>
      <c r="AD18" s="180"/>
      <c r="AE18" s="516"/>
    </row>
    <row r="19" spans="1:31" ht="16.2" customHeight="1">
      <c r="A19" s="51">
        <v>3</v>
      </c>
      <c r="B19" s="51"/>
      <c r="C19" s="512"/>
      <c r="D19" s="139"/>
      <c r="E19" s="146"/>
      <c r="F19" s="132"/>
      <c r="G19" s="51">
        <v>3</v>
      </c>
      <c r="H19" s="51"/>
      <c r="I19" s="512"/>
      <c r="J19" s="139"/>
      <c r="K19" s="137"/>
      <c r="L19" s="132"/>
      <c r="M19" s="51">
        <v>3</v>
      </c>
      <c r="N19" s="51"/>
      <c r="O19" s="512"/>
      <c r="P19" s="139"/>
      <c r="Q19" s="137"/>
      <c r="R19" s="132"/>
      <c r="S19" s="51">
        <v>3</v>
      </c>
      <c r="T19" s="51"/>
      <c r="U19" s="561"/>
      <c r="V19" s="489"/>
      <c r="W19" s="146"/>
      <c r="X19" s="132"/>
      <c r="Y19" s="51">
        <v>3</v>
      </c>
      <c r="Z19" s="51"/>
      <c r="AA19" s="512"/>
      <c r="AB19" s="139"/>
      <c r="AC19" s="137"/>
      <c r="AD19" s="132"/>
      <c r="AE19" s="516"/>
    </row>
    <row r="20" spans="1:31" ht="16.2" customHeight="1" thickBot="1">
      <c r="A20" s="51">
        <v>3</v>
      </c>
      <c r="B20" s="51"/>
      <c r="C20" s="512"/>
      <c r="D20" s="139"/>
      <c r="E20" s="146"/>
      <c r="F20" s="132"/>
      <c r="G20" s="51">
        <v>3</v>
      </c>
      <c r="H20" s="51"/>
      <c r="I20" s="512"/>
      <c r="J20" s="139"/>
      <c r="K20" s="137"/>
      <c r="L20" s="132"/>
      <c r="M20" s="51">
        <v>3</v>
      </c>
      <c r="N20" s="51"/>
      <c r="O20" s="512"/>
      <c r="P20" s="139"/>
      <c r="Q20" s="137"/>
      <c r="R20" s="132"/>
      <c r="S20" s="51">
        <v>3</v>
      </c>
      <c r="T20" s="51"/>
      <c r="U20" s="512"/>
      <c r="V20" s="139"/>
      <c r="W20" s="137"/>
      <c r="X20" s="132"/>
      <c r="Y20" s="51">
        <v>3</v>
      </c>
      <c r="Z20" s="51"/>
      <c r="AA20" s="512"/>
      <c r="AB20" s="139"/>
      <c r="AC20" s="137"/>
      <c r="AD20" s="132"/>
      <c r="AE20" s="516"/>
    </row>
    <row r="21" spans="1:31" ht="16.2" customHeight="1" thickTop="1">
      <c r="A21" s="51">
        <v>4</v>
      </c>
      <c r="B21" s="51"/>
      <c r="C21" s="523" t="s">
        <v>692</v>
      </c>
      <c r="D21" s="535">
        <f xml:space="preserve"> SUM(D13:D20)</f>
        <v>1150</v>
      </c>
      <c r="E21" s="28"/>
      <c r="F21" s="75">
        <f>SUM(F13:F20)</f>
        <v>0</v>
      </c>
      <c r="G21" s="51">
        <v>4</v>
      </c>
      <c r="H21" s="51"/>
      <c r="I21" s="523" t="s">
        <v>692</v>
      </c>
      <c r="J21" s="535">
        <f xml:space="preserve"> SUM(J13:J20)</f>
        <v>6050</v>
      </c>
      <c r="K21" s="28"/>
      <c r="L21" s="75">
        <f>SUM(L13:L20)</f>
        <v>0</v>
      </c>
      <c r="M21" s="51">
        <v>4</v>
      </c>
      <c r="N21" s="51"/>
      <c r="O21" s="523" t="s">
        <v>692</v>
      </c>
      <c r="P21" s="535">
        <f xml:space="preserve"> SUM(P13:P20)</f>
        <v>1300</v>
      </c>
      <c r="Q21" s="28"/>
      <c r="R21" s="75">
        <f>SUM(R13:R20)</f>
        <v>0</v>
      </c>
      <c r="S21" s="51">
        <v>4</v>
      </c>
      <c r="T21" s="51"/>
      <c r="U21" s="523" t="s">
        <v>692</v>
      </c>
      <c r="V21" s="535">
        <f xml:space="preserve"> SUM(V13:V20)</f>
        <v>5450</v>
      </c>
      <c r="W21" s="28"/>
      <c r="X21" s="75">
        <f>SUM(X13:X20)</f>
        <v>0</v>
      </c>
      <c r="Y21" s="51">
        <v>4</v>
      </c>
      <c r="Z21" s="51"/>
      <c r="AA21" s="523" t="s">
        <v>692</v>
      </c>
      <c r="AB21" s="535">
        <f>SUM(AB13:AB20)</f>
        <v>0</v>
      </c>
      <c r="AC21" s="28"/>
      <c r="AD21" s="92">
        <f>SUM(AD13:AD20)</f>
        <v>0</v>
      </c>
      <c r="AE21" s="524">
        <f>D21+J21+P21+V21+AB21</f>
        <v>13950</v>
      </c>
    </row>
    <row r="22" spans="1:31" ht="16.2" customHeight="1">
      <c r="A22" s="51"/>
      <c r="B22" s="51"/>
      <c r="C22" s="18"/>
      <c r="D22" s="20"/>
      <c r="F22" s="189"/>
      <c r="G22" s="51"/>
      <c r="H22" s="51"/>
      <c r="I22" s="18"/>
      <c r="J22" s="20"/>
      <c r="L22" s="189"/>
      <c r="M22" s="51"/>
      <c r="N22" s="51"/>
      <c r="O22" s="18"/>
      <c r="P22" s="20"/>
      <c r="R22" s="189"/>
      <c r="S22" s="51"/>
      <c r="T22" s="51"/>
      <c r="U22" s="18"/>
      <c r="V22" s="20"/>
      <c r="X22" s="189"/>
      <c r="Y22" s="51"/>
      <c r="Z22" s="51"/>
      <c r="AA22" s="18"/>
      <c r="AB22" s="20"/>
      <c r="AD22" s="527" t="s">
        <v>692</v>
      </c>
      <c r="AE22" s="93">
        <f>A大阪市住之江区折込部数+M大阪市住之江区折込部数+S大阪市住之江区折込部数+Y大阪市住之江区折込部数+AD21</f>
        <v>0</v>
      </c>
    </row>
    <row r="23" spans="1:31" ht="16.2" customHeight="1">
      <c r="A23" s="51">
        <v>2</v>
      </c>
      <c r="B23" s="488" t="s">
        <v>1408</v>
      </c>
      <c r="C23" s="46" t="s">
        <v>933</v>
      </c>
      <c r="F23" s="224"/>
      <c r="G23" s="51">
        <v>2</v>
      </c>
      <c r="H23" s="488" t="s">
        <v>1408</v>
      </c>
      <c r="I23" s="489"/>
      <c r="J23" s="489"/>
      <c r="K23" s="217"/>
      <c r="L23" s="224"/>
      <c r="M23" s="51">
        <v>2</v>
      </c>
      <c r="N23" s="488" t="s">
        <v>1408</v>
      </c>
      <c r="O23" s="489"/>
      <c r="P23" s="489"/>
      <c r="Q23" s="217"/>
      <c r="R23" s="489"/>
      <c r="S23" s="51">
        <v>2</v>
      </c>
      <c r="T23" s="488" t="s">
        <v>1408</v>
      </c>
      <c r="U23" s="489"/>
      <c r="V23" s="489"/>
      <c r="W23" s="217"/>
      <c r="X23" s="489"/>
      <c r="Y23" s="51">
        <v>2</v>
      </c>
      <c r="Z23" s="488" t="s">
        <v>1408</v>
      </c>
      <c r="AA23" s="489"/>
      <c r="AB23" s="217"/>
      <c r="AC23"/>
      <c r="AD23" s="90"/>
      <c r="AE23" s="707"/>
    </row>
    <row r="24" spans="1:31" ht="16.2" customHeight="1">
      <c r="A24" s="51">
        <v>3</v>
      </c>
      <c r="B24" s="51">
        <v>72113</v>
      </c>
      <c r="C24" s="441" t="s">
        <v>934</v>
      </c>
      <c r="D24" s="267">
        <v>1150</v>
      </c>
      <c r="E24" s="177"/>
      <c r="F24" s="404"/>
      <c r="G24" s="51">
        <v>3</v>
      </c>
      <c r="H24" s="51">
        <v>73131</v>
      </c>
      <c r="I24" s="690" t="s">
        <v>937</v>
      </c>
      <c r="J24" s="714">
        <v>1650</v>
      </c>
      <c r="K24" s="162"/>
      <c r="L24" s="404"/>
      <c r="M24" s="51">
        <v>3</v>
      </c>
      <c r="N24" s="51">
        <v>75133</v>
      </c>
      <c r="O24" s="441" t="s">
        <v>936</v>
      </c>
      <c r="P24" s="714">
        <v>850</v>
      </c>
      <c r="Q24" s="162"/>
      <c r="R24" s="404"/>
      <c r="S24" s="51">
        <v>3</v>
      </c>
      <c r="T24" s="51">
        <v>74155</v>
      </c>
      <c r="U24" s="441" t="s">
        <v>937</v>
      </c>
      <c r="V24" s="148">
        <v>2950</v>
      </c>
      <c r="W24" s="177"/>
      <c r="X24" s="404"/>
      <c r="Y24" s="51">
        <v>3</v>
      </c>
      <c r="Z24" s="51"/>
      <c r="AA24" s="709"/>
      <c r="AB24" s="710"/>
      <c r="AC24" s="162"/>
      <c r="AD24" s="160"/>
      <c r="AE24" s="704"/>
    </row>
    <row r="25" spans="1:31" ht="16.2" customHeight="1">
      <c r="A25" s="51">
        <v>3</v>
      </c>
      <c r="B25" s="51">
        <v>72117</v>
      </c>
      <c r="C25" s="386" t="s">
        <v>936</v>
      </c>
      <c r="D25" s="149">
        <v>650</v>
      </c>
      <c r="E25" s="146"/>
      <c r="F25" s="405"/>
      <c r="G25" s="51">
        <v>3</v>
      </c>
      <c r="H25" s="51">
        <v>73133</v>
      </c>
      <c r="I25" s="386" t="s">
        <v>938</v>
      </c>
      <c r="J25" s="143">
        <v>1700</v>
      </c>
      <c r="K25" s="146"/>
      <c r="L25" s="405"/>
      <c r="M25" s="51">
        <v>3</v>
      </c>
      <c r="N25" s="51">
        <v>75135</v>
      </c>
      <c r="O25" s="691" t="s">
        <v>937</v>
      </c>
      <c r="P25" s="143">
        <v>1000</v>
      </c>
      <c r="Q25" s="146"/>
      <c r="R25" s="405"/>
      <c r="S25" s="51">
        <v>3</v>
      </c>
      <c r="T25" s="51">
        <v>74157</v>
      </c>
      <c r="U25" s="386" t="s">
        <v>934</v>
      </c>
      <c r="V25" s="143">
        <v>1150</v>
      </c>
      <c r="W25" s="146"/>
      <c r="X25" s="405"/>
      <c r="Y25" s="51">
        <v>3</v>
      </c>
      <c r="Z25" s="51"/>
      <c r="AA25" s="512"/>
      <c r="AB25" s="139"/>
      <c r="AC25" s="137"/>
      <c r="AD25" s="132"/>
      <c r="AE25" s="706"/>
    </row>
    <row r="26" spans="1:31" ht="16.2" customHeight="1">
      <c r="A26" s="51">
        <v>3</v>
      </c>
      <c r="B26" s="51">
        <v>72119</v>
      </c>
      <c r="C26" s="386" t="s">
        <v>1547</v>
      </c>
      <c r="D26" s="149">
        <v>2850</v>
      </c>
      <c r="E26" s="146"/>
      <c r="F26" s="405"/>
      <c r="G26" s="51">
        <v>3</v>
      </c>
      <c r="H26" s="51">
        <v>73135</v>
      </c>
      <c r="I26" s="691" t="s">
        <v>939</v>
      </c>
      <c r="J26" s="352">
        <v>1150</v>
      </c>
      <c r="K26" s="156"/>
      <c r="L26" s="405"/>
      <c r="M26" s="51">
        <v>3</v>
      </c>
      <c r="N26" s="51">
        <v>75137</v>
      </c>
      <c r="O26" s="386" t="s">
        <v>938</v>
      </c>
      <c r="P26" s="352">
        <v>1050</v>
      </c>
      <c r="Q26" s="156"/>
      <c r="R26" s="405"/>
      <c r="S26" s="51">
        <v>3</v>
      </c>
      <c r="T26" s="51">
        <v>74159</v>
      </c>
      <c r="U26" s="386" t="s">
        <v>944</v>
      </c>
      <c r="V26" s="143">
        <v>2400</v>
      </c>
      <c r="W26" s="146"/>
      <c r="X26" s="405"/>
      <c r="Y26" s="51">
        <v>3</v>
      </c>
      <c r="Z26" s="51"/>
      <c r="AA26" s="512"/>
      <c r="AB26" s="139"/>
      <c r="AC26" s="137"/>
      <c r="AD26" s="132"/>
      <c r="AE26" s="719"/>
    </row>
    <row r="27" spans="1:31" ht="16.2" customHeight="1">
      <c r="A27" s="51">
        <v>3</v>
      </c>
      <c r="B27" s="51"/>
      <c r="C27" s="386"/>
      <c r="D27" s="143"/>
      <c r="E27" s="146"/>
      <c r="F27" s="405"/>
      <c r="G27" s="51">
        <v>3</v>
      </c>
      <c r="H27" s="51">
        <v>73137</v>
      </c>
      <c r="I27" s="386" t="s">
        <v>934</v>
      </c>
      <c r="J27" s="143">
        <v>2200</v>
      </c>
      <c r="K27" s="137"/>
      <c r="L27" s="405"/>
      <c r="M27" s="51">
        <v>3</v>
      </c>
      <c r="N27" s="51">
        <v>75139</v>
      </c>
      <c r="O27" s="386" t="s">
        <v>942</v>
      </c>
      <c r="P27" s="143">
        <v>500</v>
      </c>
      <c r="Q27" s="137"/>
      <c r="R27" s="405"/>
      <c r="S27" s="51">
        <v>3</v>
      </c>
      <c r="T27" s="51">
        <v>74161</v>
      </c>
      <c r="U27" s="386" t="s">
        <v>935</v>
      </c>
      <c r="V27" s="143">
        <v>2500</v>
      </c>
      <c r="W27" s="146"/>
      <c r="X27" s="405"/>
      <c r="Y27" s="51">
        <v>3</v>
      </c>
      <c r="Z27" s="51"/>
      <c r="AA27" s="512"/>
      <c r="AB27" s="139"/>
      <c r="AC27" s="137"/>
      <c r="AD27" s="132"/>
      <c r="AE27" s="516"/>
    </row>
    <row r="28" spans="1:31" ht="16.2" customHeight="1">
      <c r="A28" s="51">
        <v>3</v>
      </c>
      <c r="B28" s="51"/>
      <c r="C28" s="386"/>
      <c r="D28" s="446"/>
      <c r="E28" s="146"/>
      <c r="F28" s="405"/>
      <c r="G28" s="51">
        <v>3</v>
      </c>
      <c r="H28" s="51">
        <v>73139</v>
      </c>
      <c r="I28" s="386" t="s">
        <v>940</v>
      </c>
      <c r="J28" s="143">
        <v>1000</v>
      </c>
      <c r="K28" s="137"/>
      <c r="L28" s="405"/>
      <c r="M28" s="51">
        <v>3</v>
      </c>
      <c r="N28" s="51">
        <v>75141</v>
      </c>
      <c r="O28" s="386" t="s">
        <v>935</v>
      </c>
      <c r="P28" s="143">
        <v>1000</v>
      </c>
      <c r="Q28" s="137"/>
      <c r="R28" s="405"/>
      <c r="S28" s="51">
        <v>3</v>
      </c>
      <c r="T28" s="51">
        <v>74163</v>
      </c>
      <c r="U28" s="698" t="s">
        <v>1319</v>
      </c>
      <c r="V28" s="353">
        <v>1750</v>
      </c>
      <c r="W28" s="146"/>
      <c r="X28" s="405"/>
      <c r="Y28" s="51">
        <v>3</v>
      </c>
      <c r="Z28" s="51"/>
      <c r="AA28" s="512"/>
      <c r="AB28" s="139"/>
      <c r="AC28" s="137"/>
      <c r="AD28" s="132"/>
      <c r="AE28" s="516"/>
    </row>
    <row r="29" spans="1:31" ht="16.2" customHeight="1">
      <c r="A29" s="51">
        <v>3</v>
      </c>
      <c r="B29" s="51"/>
      <c r="C29" s="386"/>
      <c r="D29" s="446"/>
      <c r="E29" s="146"/>
      <c r="F29" s="405"/>
      <c r="G29" s="51">
        <v>3</v>
      </c>
      <c r="H29" s="51">
        <v>73141</v>
      </c>
      <c r="I29" s="386" t="s">
        <v>941</v>
      </c>
      <c r="J29" s="143">
        <v>1500</v>
      </c>
      <c r="K29" s="137"/>
      <c r="L29" s="405"/>
      <c r="M29" s="51">
        <v>3</v>
      </c>
      <c r="N29" s="51">
        <v>75143</v>
      </c>
      <c r="O29" s="386" t="s">
        <v>943</v>
      </c>
      <c r="P29" s="143">
        <v>2400</v>
      </c>
      <c r="Q29" s="137"/>
      <c r="R29" s="405"/>
      <c r="S29" s="51">
        <v>3</v>
      </c>
      <c r="T29" s="51">
        <v>74165</v>
      </c>
      <c r="U29" s="386" t="s">
        <v>945</v>
      </c>
      <c r="V29" s="143">
        <v>1400</v>
      </c>
      <c r="W29" s="197"/>
      <c r="X29" s="405"/>
      <c r="Y29" s="51">
        <v>3</v>
      </c>
      <c r="Z29" s="51"/>
      <c r="AA29" s="512"/>
      <c r="AB29" s="139"/>
      <c r="AC29" s="137"/>
      <c r="AD29" s="132"/>
      <c r="AE29" s="516"/>
    </row>
    <row r="30" spans="1:31" ht="16.2" customHeight="1">
      <c r="A30" s="51">
        <v>3</v>
      </c>
      <c r="B30" s="51"/>
      <c r="C30" s="386"/>
      <c r="D30" s="139"/>
      <c r="E30" s="146"/>
      <c r="F30" s="132"/>
      <c r="G30" s="51">
        <v>3</v>
      </c>
      <c r="H30" s="51">
        <v>73142</v>
      </c>
      <c r="I30" s="512" t="s">
        <v>1568</v>
      </c>
      <c r="J30" s="139">
        <v>1300</v>
      </c>
      <c r="K30" s="137"/>
      <c r="L30" s="132"/>
      <c r="M30" s="51">
        <v>3</v>
      </c>
      <c r="N30" s="51">
        <v>75145</v>
      </c>
      <c r="O30" s="386" t="s">
        <v>939</v>
      </c>
      <c r="P30" s="143">
        <v>1250</v>
      </c>
      <c r="Q30" s="137"/>
      <c r="R30" s="405"/>
      <c r="S30" s="51">
        <v>3</v>
      </c>
      <c r="T30" s="51"/>
      <c r="U30" s="520"/>
      <c r="V30" s="208"/>
      <c r="W30" s="146"/>
      <c r="X30" s="132"/>
      <c r="Y30" s="51">
        <v>3</v>
      </c>
      <c r="Z30" s="51"/>
      <c r="AA30" s="512"/>
      <c r="AB30" s="139"/>
      <c r="AC30" s="137"/>
      <c r="AD30" s="132"/>
      <c r="AE30" s="516"/>
    </row>
    <row r="31" spans="1:31" ht="16.2" customHeight="1">
      <c r="A31" s="51">
        <v>3</v>
      </c>
      <c r="B31" s="51"/>
      <c r="C31" s="512"/>
      <c r="D31" s="139"/>
      <c r="E31" s="146"/>
      <c r="F31" s="132"/>
      <c r="G31" s="51">
        <v>3</v>
      </c>
      <c r="H31" s="51"/>
      <c r="I31" s="520"/>
      <c r="J31" s="208"/>
      <c r="K31" s="138"/>
      <c r="L31" s="133"/>
      <c r="M31" s="51">
        <v>3</v>
      </c>
      <c r="N31" s="51"/>
      <c r="O31" s="520"/>
      <c r="P31" s="208"/>
      <c r="Q31" s="138"/>
      <c r="R31" s="133"/>
      <c r="S31" s="51">
        <v>3</v>
      </c>
      <c r="T31" s="51"/>
      <c r="U31" s="520"/>
      <c r="V31" s="208"/>
      <c r="W31" s="197"/>
      <c r="X31" s="133"/>
      <c r="Y31" s="51">
        <v>3</v>
      </c>
      <c r="Z31" s="51"/>
      <c r="AA31" s="520"/>
      <c r="AB31" s="208"/>
      <c r="AC31" s="138"/>
      <c r="AD31" s="133"/>
      <c r="AE31" s="516"/>
    </row>
    <row r="32" spans="1:31" ht="16.2" customHeight="1">
      <c r="A32" s="51">
        <v>3</v>
      </c>
      <c r="B32" s="51"/>
      <c r="C32" s="692"/>
      <c r="D32" s="226"/>
      <c r="E32" s="198"/>
      <c r="F32" s="161"/>
      <c r="G32" s="51">
        <v>3</v>
      </c>
      <c r="H32" s="51"/>
      <c r="I32" s="512"/>
      <c r="J32" s="139"/>
      <c r="K32" s="137"/>
      <c r="L32" s="132"/>
      <c r="M32" s="51">
        <v>3</v>
      </c>
      <c r="N32" s="673"/>
      <c r="O32" s="596"/>
      <c r="P32" s="139"/>
      <c r="Q32" s="137"/>
      <c r="R32" s="132"/>
      <c r="S32" s="51">
        <v>3</v>
      </c>
      <c r="T32" s="51"/>
      <c r="U32" s="512"/>
      <c r="V32" s="139"/>
      <c r="W32" s="137"/>
      <c r="X32" s="132"/>
      <c r="Y32" s="51">
        <v>3</v>
      </c>
      <c r="Z32" s="51"/>
      <c r="AA32" s="596"/>
      <c r="AB32" s="139"/>
      <c r="AC32" s="137"/>
      <c r="AD32" s="132"/>
      <c r="AE32" s="516"/>
    </row>
    <row r="33" spans="1:31" ht="16.2" customHeight="1">
      <c r="A33" s="51">
        <v>3</v>
      </c>
      <c r="B33" s="51"/>
      <c r="C33" s="512"/>
      <c r="D33" s="139"/>
      <c r="E33" s="146"/>
      <c r="F33" s="132"/>
      <c r="G33" s="51">
        <v>3</v>
      </c>
      <c r="H33" s="51"/>
      <c r="I33" s="512"/>
      <c r="J33" s="139"/>
      <c r="K33" s="137"/>
      <c r="L33" s="132"/>
      <c r="M33" s="51">
        <v>3</v>
      </c>
      <c r="N33" s="673"/>
      <c r="O33" s="596"/>
      <c r="P33" s="139"/>
      <c r="Q33" s="137"/>
      <c r="R33" s="132"/>
      <c r="S33" s="51">
        <v>3</v>
      </c>
      <c r="T33" s="51"/>
      <c r="U33" s="512"/>
      <c r="V33" s="139"/>
      <c r="W33" s="137"/>
      <c r="X33" s="132"/>
      <c r="Y33" s="51">
        <v>3</v>
      </c>
      <c r="Z33" s="51"/>
      <c r="AA33" s="596"/>
      <c r="AB33" s="139"/>
      <c r="AC33" s="137"/>
      <c r="AD33" s="132"/>
      <c r="AE33" s="516"/>
    </row>
    <row r="34" spans="1:31" ht="16.2" customHeight="1" thickBot="1">
      <c r="A34" s="51">
        <v>3</v>
      </c>
      <c r="B34" s="51"/>
      <c r="C34" s="512"/>
      <c r="D34" s="139"/>
      <c r="E34" s="146"/>
      <c r="F34" s="161"/>
      <c r="G34" s="51">
        <v>3</v>
      </c>
      <c r="H34" s="51"/>
      <c r="I34" s="701"/>
      <c r="J34" s="209"/>
      <c r="K34" s="253"/>
      <c r="L34" s="134"/>
      <c r="M34" s="51">
        <v>3</v>
      </c>
      <c r="N34" s="673"/>
      <c r="O34" s="729"/>
      <c r="P34" s="209"/>
      <c r="Q34" s="253"/>
      <c r="R34" s="134"/>
      <c r="S34" s="51">
        <v>3</v>
      </c>
      <c r="T34" s="51"/>
      <c r="U34" s="701"/>
      <c r="V34" s="209"/>
      <c r="W34" s="253"/>
      <c r="X34" s="134"/>
      <c r="Y34" s="51">
        <v>3</v>
      </c>
      <c r="Z34" s="51"/>
      <c r="AA34" s="729"/>
      <c r="AB34" s="209"/>
      <c r="AC34" s="253"/>
      <c r="AD34" s="134"/>
      <c r="AE34" s="730"/>
    </row>
    <row r="35" spans="1:31" ht="16.2" customHeight="1" thickTop="1">
      <c r="A35" s="51">
        <v>4</v>
      </c>
      <c r="B35" s="51"/>
      <c r="C35" s="523" t="s">
        <v>692</v>
      </c>
      <c r="D35" s="535">
        <f>SUM(D24:D34)</f>
        <v>4650</v>
      </c>
      <c r="E35" s="28"/>
      <c r="F35" s="75">
        <f>SUM(F24:F34)</f>
        <v>0</v>
      </c>
      <c r="G35" s="51">
        <v>4</v>
      </c>
      <c r="H35" s="51"/>
      <c r="I35" s="712" t="s">
        <v>692</v>
      </c>
      <c r="J35" s="713">
        <f>SUM(J24:J34)</f>
        <v>10500</v>
      </c>
      <c r="K35" s="255"/>
      <c r="L35" s="256">
        <f>SUM(L24:L34)</f>
        <v>0</v>
      </c>
      <c r="M35" s="51">
        <v>4</v>
      </c>
      <c r="N35" s="51"/>
      <c r="O35" s="712" t="s">
        <v>692</v>
      </c>
      <c r="P35" s="713">
        <f>SUM(P24:P34)</f>
        <v>8050</v>
      </c>
      <c r="Q35" s="255"/>
      <c r="R35" s="256">
        <f>SUM(R24:R34)</f>
        <v>0</v>
      </c>
      <c r="S35" s="51">
        <v>4</v>
      </c>
      <c r="T35" s="51"/>
      <c r="U35" s="712" t="s">
        <v>692</v>
      </c>
      <c r="V35" s="713">
        <f>SUM(V24:V34)</f>
        <v>12150</v>
      </c>
      <c r="W35" s="255"/>
      <c r="X35" s="256">
        <f>SUM(X24:X34)</f>
        <v>0</v>
      </c>
      <c r="Y35" s="51">
        <v>4</v>
      </c>
      <c r="Z35" s="51"/>
      <c r="AA35" s="712" t="s">
        <v>692</v>
      </c>
      <c r="AB35" s="713">
        <f>SUM(AB24:AB34)</f>
        <v>0</v>
      </c>
      <c r="AC35" s="255"/>
      <c r="AD35" s="257">
        <f>SUM(AD24:AD34)</f>
        <v>0</v>
      </c>
      <c r="AE35" s="707">
        <f>D35+J35+P35+V35+AB35</f>
        <v>35350</v>
      </c>
    </row>
    <row r="36" spans="1:31" ht="16.2" customHeight="1">
      <c r="A36" s="51">
        <v>9</v>
      </c>
      <c r="B36" s="51"/>
      <c r="C36" s="13"/>
      <c r="D36" s="13"/>
      <c r="E36" s="13"/>
      <c r="F36" s="13"/>
      <c r="G36" s="51">
        <v>9</v>
      </c>
      <c r="H36" s="51"/>
      <c r="I36" s="13"/>
      <c r="K36" s="13"/>
      <c r="L36" s="13"/>
      <c r="M36" s="51">
        <v>9</v>
      </c>
      <c r="N36" s="51"/>
      <c r="O36" s="489"/>
      <c r="P36" s="489"/>
      <c r="Q36" s="217"/>
      <c r="R36" s="224"/>
      <c r="S36" s="51">
        <v>9</v>
      </c>
      <c r="T36" s="51"/>
      <c r="U36" s="489"/>
      <c r="V36" s="489"/>
      <c r="W36" s="217"/>
      <c r="X36" s="224"/>
      <c r="Y36" s="51">
        <v>9</v>
      </c>
      <c r="Z36" s="51"/>
      <c r="AA36" s="489"/>
      <c r="AB36" s="489"/>
      <c r="AC36" s="217"/>
      <c r="AD36" s="527" t="s">
        <v>692</v>
      </c>
      <c r="AE36" s="100">
        <f>A大阪市平野区折込部数+M大阪市平野区折込部数+S大阪市平野区折込部数+Y大阪市平野区折込部数+AD35</f>
        <v>0</v>
      </c>
    </row>
    <row r="37" spans="1:31" ht="16.2" customHeight="1">
      <c r="L37" s="224"/>
      <c r="M37" s="224"/>
      <c r="N37" s="224"/>
      <c r="O37" s="489"/>
      <c r="P37" s="489"/>
      <c r="Q37" s="217"/>
      <c r="R37" s="224"/>
      <c r="S37" s="224"/>
      <c r="T37" s="224"/>
      <c r="U37" s="489"/>
      <c r="V37" s="489"/>
      <c r="W37" s="217"/>
      <c r="X37" s="224"/>
      <c r="Y37" s="224"/>
      <c r="Z37" s="224"/>
      <c r="AA37" s="489"/>
      <c r="AB37" s="489"/>
      <c r="AC37" s="217"/>
      <c r="AD37" s="224"/>
      <c r="AE37" s="489"/>
    </row>
    <row r="38" spans="1:31" ht="16.2" customHeight="1">
      <c r="C38" s="489"/>
      <c r="D38" s="489"/>
      <c r="E38" s="217"/>
      <c r="F38" s="224"/>
      <c r="G38" s="224"/>
      <c r="H38" s="224"/>
      <c r="I38" s="489"/>
      <c r="J38" s="489"/>
      <c r="K38" s="217"/>
      <c r="L38" s="224"/>
      <c r="M38" s="224"/>
      <c r="N38" s="224"/>
      <c r="O38" s="489"/>
      <c r="P38" s="489"/>
      <c r="Q38" s="217"/>
      <c r="R38" s="224"/>
      <c r="S38" s="224"/>
      <c r="T38" s="224"/>
      <c r="U38" s="489"/>
      <c r="V38" s="489"/>
      <c r="W38" s="217"/>
      <c r="X38" s="224"/>
      <c r="Y38" s="224"/>
      <c r="Z38" s="224"/>
      <c r="AA38" s="489"/>
      <c r="AB38" s="489"/>
      <c r="AC38" s="217"/>
      <c r="AD38" s="224"/>
      <c r="AE38" s="489"/>
    </row>
    <row r="39" spans="1:31" ht="16.2" customHeight="1">
      <c r="C39" s="489"/>
      <c r="D39" s="489"/>
      <c r="E39" s="217"/>
      <c r="F39" s="224"/>
      <c r="G39" s="224"/>
      <c r="H39" s="224"/>
      <c r="I39" s="489"/>
      <c r="J39" s="489"/>
      <c r="K39" s="217"/>
      <c r="L39" s="224"/>
      <c r="M39" s="224"/>
      <c r="N39" s="224"/>
      <c r="O39" s="489"/>
      <c r="P39" s="489"/>
      <c r="Q39" s="217"/>
      <c r="R39" s="224"/>
      <c r="S39" s="224"/>
      <c r="T39" s="224"/>
      <c r="U39" s="489"/>
      <c r="V39" s="489"/>
      <c r="W39" s="217"/>
      <c r="X39" s="224"/>
      <c r="Y39" s="224"/>
      <c r="Z39" s="224"/>
      <c r="AA39" s="489"/>
      <c r="AB39" s="489"/>
      <c r="AC39" s="217"/>
      <c r="AD39" s="224"/>
      <c r="AE39" s="489"/>
    </row>
    <row r="40" spans="1:31" ht="16.2" customHeight="1">
      <c r="C40" s="489"/>
      <c r="D40" s="489"/>
      <c r="E40" s="217"/>
      <c r="F40" s="224"/>
      <c r="G40" s="224"/>
      <c r="H40" s="224"/>
      <c r="I40" s="489"/>
      <c r="J40" s="489"/>
      <c r="K40" s="217"/>
      <c r="L40" s="224"/>
      <c r="M40" s="224"/>
      <c r="N40" s="224"/>
      <c r="O40" s="489"/>
      <c r="P40" s="489"/>
      <c r="Q40" s="217"/>
      <c r="R40" s="224"/>
      <c r="S40" s="224"/>
      <c r="T40" s="224"/>
      <c r="U40" s="489"/>
      <c r="V40" s="489"/>
      <c r="W40" s="217"/>
      <c r="X40" s="224"/>
      <c r="Y40" s="224"/>
      <c r="Z40" s="224"/>
      <c r="AA40" s="489"/>
      <c r="AB40" s="489"/>
      <c r="AC40" s="217"/>
      <c r="AD40" s="224"/>
      <c r="AE40" s="489"/>
    </row>
    <row r="41" spans="1:31" ht="16.2" customHeight="1">
      <c r="C41" s="489"/>
      <c r="D41" s="489"/>
      <c r="E41" s="217"/>
      <c r="F41" s="224"/>
      <c r="G41" s="224"/>
      <c r="H41" s="224"/>
      <c r="I41" s="489"/>
      <c r="J41" s="489"/>
      <c r="K41" s="217"/>
      <c r="L41" s="224"/>
      <c r="M41" s="224"/>
      <c r="N41" s="224"/>
      <c r="O41" s="489"/>
      <c r="P41" s="489"/>
      <c r="Q41" s="217"/>
      <c r="R41" s="224"/>
      <c r="S41" s="224"/>
      <c r="T41" s="224"/>
      <c r="U41" s="489"/>
      <c r="V41" s="489"/>
      <c r="W41" s="217"/>
      <c r="X41" s="224"/>
      <c r="Y41" s="224"/>
      <c r="Z41" s="224"/>
      <c r="AA41" s="489"/>
      <c r="AB41" s="489"/>
      <c r="AC41" s="217"/>
      <c r="AD41" s="224"/>
      <c r="AE41" s="489"/>
    </row>
    <row r="42" spans="1:31" ht="16.2" customHeight="1">
      <c r="C42" s="489"/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17"/>
      <c r="R42" s="224"/>
      <c r="S42" s="224"/>
      <c r="T42" s="224"/>
      <c r="U42" s="489"/>
      <c r="V42" s="489"/>
      <c r="W42" s="217"/>
      <c r="X42" s="224"/>
      <c r="Y42" s="224"/>
      <c r="Z42" s="224"/>
      <c r="AA42" s="489"/>
      <c r="AB42" s="489"/>
      <c r="AC42" s="217"/>
      <c r="AD42" s="224"/>
      <c r="AE42" s="489"/>
    </row>
    <row r="43" spans="1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17"/>
      <c r="R43" s="224"/>
      <c r="S43" s="224"/>
      <c r="T43" s="224"/>
      <c r="U43" s="489"/>
      <c r="V43" s="489"/>
      <c r="W43" s="217"/>
      <c r="X43" s="224"/>
      <c r="Y43" s="224"/>
      <c r="Z43" s="224"/>
      <c r="AA43" s="489"/>
      <c r="AB43" s="489"/>
      <c r="AC43" s="217"/>
      <c r="AD43" s="224"/>
      <c r="AE43" s="489"/>
    </row>
    <row r="44" spans="1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17"/>
      <c r="R44" s="224"/>
      <c r="S44" s="224"/>
      <c r="T44" s="224"/>
      <c r="U44" s="489"/>
      <c r="V44" s="489"/>
      <c r="W44" s="217"/>
      <c r="X44" s="224"/>
      <c r="Y44" s="224"/>
      <c r="Z44" s="224"/>
      <c r="AA44" s="489"/>
      <c r="AB44" s="489"/>
      <c r="AC44" s="217"/>
      <c r="AD44" s="224"/>
      <c r="AE44" s="489"/>
    </row>
    <row r="45" spans="1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17"/>
      <c r="R45" s="224"/>
      <c r="S45" s="224"/>
      <c r="T45" s="224"/>
      <c r="U45" s="489"/>
      <c r="V45" s="489"/>
      <c r="W45" s="217"/>
      <c r="X45" s="224"/>
      <c r="Y45" s="224"/>
      <c r="Z45" s="224"/>
      <c r="AA45" s="489"/>
      <c r="AB45" s="489"/>
      <c r="AC45" s="217"/>
      <c r="AD45" s="224"/>
      <c r="AE45" s="489"/>
    </row>
    <row r="46" spans="1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17"/>
      <c r="R46" s="224"/>
      <c r="S46" s="224"/>
      <c r="T46" s="224"/>
      <c r="U46" s="489"/>
      <c r="V46" s="489"/>
      <c r="W46" s="217"/>
      <c r="X46" s="224"/>
      <c r="Y46" s="224"/>
      <c r="Z46" s="224"/>
      <c r="AA46" s="489"/>
      <c r="AB46" s="489"/>
      <c r="AC46" s="217"/>
      <c r="AD46" s="224"/>
      <c r="AE46" s="489"/>
    </row>
    <row r="47" spans="1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17"/>
      <c r="R47" s="224"/>
      <c r="S47" s="224"/>
      <c r="T47" s="224"/>
      <c r="U47" s="489"/>
      <c r="V47" s="489"/>
      <c r="W47" s="217"/>
      <c r="X47" s="224"/>
      <c r="Y47" s="224"/>
      <c r="Z47" s="224"/>
      <c r="AA47" s="489"/>
      <c r="AB47" s="489"/>
      <c r="AC47" s="217"/>
      <c r="AD47" s="224"/>
      <c r="AE47" s="489"/>
    </row>
    <row r="48" spans="1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17"/>
      <c r="R48" s="224"/>
      <c r="S48" s="224"/>
      <c r="T48" s="224"/>
      <c r="U48" s="489"/>
      <c r="V48" s="489"/>
      <c r="W48" s="217"/>
      <c r="X48" s="224"/>
      <c r="Y48" s="224"/>
      <c r="Z48" s="224"/>
      <c r="AA48" s="489"/>
      <c r="AB48" s="489"/>
      <c r="AC48" s="217"/>
      <c r="AD48" s="224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17"/>
      <c r="R49" s="224"/>
      <c r="S49" s="224"/>
      <c r="T49" s="224"/>
      <c r="U49" s="489"/>
      <c r="V49" s="489"/>
      <c r="W49" s="217"/>
      <c r="X49" s="224"/>
      <c r="Y49" s="224"/>
      <c r="Z49" s="224"/>
      <c r="AA49" s="489"/>
      <c r="AB49" s="489"/>
      <c r="AC49" s="217"/>
      <c r="AD49" s="224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17"/>
      <c r="R50" s="224"/>
      <c r="S50" s="224"/>
      <c r="T50" s="224"/>
      <c r="U50" s="489"/>
      <c r="V50" s="489"/>
      <c r="W50" s="217"/>
      <c r="X50" s="224"/>
      <c r="Y50" s="224"/>
      <c r="Z50" s="224"/>
      <c r="AA50" s="489"/>
      <c r="AB50" s="489"/>
      <c r="AC50" s="217"/>
      <c r="AD50" s="224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17"/>
      <c r="R51" s="224"/>
      <c r="S51" s="224"/>
      <c r="T51" s="224"/>
      <c r="U51" s="489"/>
      <c r="V51" s="489"/>
      <c r="W51" s="217"/>
      <c r="X51" s="224"/>
      <c r="Y51" s="224"/>
      <c r="Z51" s="224"/>
      <c r="AA51" s="489"/>
      <c r="AB51" s="489"/>
      <c r="AC51" s="217"/>
      <c r="AD51" s="224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17"/>
      <c r="R52" s="224"/>
      <c r="S52" s="224"/>
      <c r="T52" s="224"/>
      <c r="U52" s="489"/>
      <c r="V52" s="489"/>
      <c r="W52" s="217"/>
      <c r="X52" s="224"/>
      <c r="Y52" s="224"/>
      <c r="Z52" s="224"/>
      <c r="AA52" s="489"/>
      <c r="AB52" s="489"/>
      <c r="AC52" s="217"/>
      <c r="AD52" s="224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17"/>
      <c r="R53" s="224"/>
      <c r="S53" s="224"/>
      <c r="T53" s="224"/>
      <c r="U53" s="489"/>
      <c r="V53" s="489"/>
      <c r="W53" s="217"/>
      <c r="X53" s="224"/>
      <c r="Y53" s="224"/>
      <c r="Z53" s="224"/>
      <c r="AA53" s="489"/>
      <c r="AB53" s="489"/>
      <c r="AC53" s="217"/>
      <c r="AD53" s="224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17"/>
      <c r="R54" s="224"/>
      <c r="S54" s="224"/>
      <c r="T54" s="224"/>
      <c r="U54" s="489"/>
      <c r="V54" s="489"/>
      <c r="W54" s="217"/>
      <c r="X54" s="224"/>
      <c r="Y54" s="224"/>
      <c r="Z54" s="224"/>
      <c r="AA54" s="489"/>
      <c r="AB54" s="489"/>
      <c r="AC54" s="217"/>
      <c r="AD54" s="224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17"/>
      <c r="R55" s="224"/>
      <c r="S55" s="224"/>
      <c r="T55" s="224"/>
      <c r="U55" s="489"/>
      <c r="V55" s="489"/>
      <c r="W55" s="217"/>
      <c r="X55" s="224"/>
      <c r="Y55" s="224"/>
      <c r="Z55" s="224"/>
      <c r="AA55" s="489"/>
      <c r="AB55" s="489"/>
      <c r="AC55" s="217"/>
      <c r="AD55" s="224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17"/>
      <c r="R56" s="224"/>
      <c r="S56" s="224"/>
      <c r="T56" s="224"/>
      <c r="U56" s="489"/>
      <c r="V56" s="489"/>
      <c r="W56" s="217"/>
      <c r="X56" s="224"/>
      <c r="Y56" s="224"/>
      <c r="Z56" s="224"/>
      <c r="AA56" s="489"/>
      <c r="AB56" s="489"/>
      <c r="AC56" s="217"/>
      <c r="AD56" s="224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17"/>
      <c r="R57" s="224"/>
      <c r="S57" s="224"/>
      <c r="T57" s="224"/>
      <c r="U57" s="489"/>
      <c r="V57" s="489"/>
      <c r="W57" s="217"/>
      <c r="X57" s="224"/>
      <c r="Y57" s="224"/>
      <c r="Z57" s="224"/>
      <c r="AA57" s="489"/>
      <c r="AB57" s="489"/>
      <c r="AC57" s="217"/>
      <c r="AD57" s="224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17"/>
      <c r="R58" s="224"/>
      <c r="S58" s="224"/>
      <c r="T58" s="224"/>
      <c r="U58" s="489"/>
      <c r="V58" s="489"/>
      <c r="W58" s="217"/>
      <c r="X58" s="224"/>
      <c r="Y58" s="224"/>
      <c r="Z58" s="224"/>
      <c r="AA58" s="489"/>
      <c r="AB58" s="489"/>
      <c r="AC58" s="217"/>
      <c r="AD58" s="224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17"/>
      <c r="R59" s="224"/>
      <c r="S59" s="224"/>
      <c r="T59" s="224"/>
      <c r="U59" s="489"/>
      <c r="V59" s="489"/>
      <c r="W59" s="217"/>
      <c r="X59" s="224"/>
      <c r="Y59" s="224"/>
      <c r="Z59" s="224"/>
      <c r="AA59" s="489"/>
      <c r="AB59" s="489"/>
      <c r="AC59" s="217"/>
      <c r="AD59" s="224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17"/>
      <c r="R60" s="224"/>
      <c r="S60" s="224"/>
      <c r="T60" s="224"/>
      <c r="U60" s="489"/>
      <c r="V60" s="489"/>
      <c r="W60" s="217"/>
      <c r="X60" s="224"/>
      <c r="Y60" s="224"/>
      <c r="Z60" s="224"/>
      <c r="AA60" s="489"/>
      <c r="AB60" s="489"/>
      <c r="AC60" s="217"/>
      <c r="AD60" s="224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17"/>
      <c r="R61" s="224"/>
      <c r="S61" s="224"/>
      <c r="T61" s="224"/>
      <c r="U61" s="489"/>
      <c r="V61" s="489"/>
      <c r="W61" s="217"/>
      <c r="X61" s="224"/>
      <c r="Y61" s="224"/>
      <c r="Z61" s="224"/>
      <c r="AA61" s="489"/>
      <c r="AB61" s="489"/>
      <c r="AC61" s="217"/>
      <c r="AD61" s="224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17"/>
      <c r="R62" s="224"/>
      <c r="S62" s="224"/>
      <c r="T62" s="224"/>
      <c r="U62" s="489"/>
      <c r="V62" s="489"/>
      <c r="W62" s="217"/>
      <c r="X62" s="224"/>
      <c r="Y62" s="224"/>
      <c r="Z62" s="224"/>
      <c r="AA62" s="489"/>
      <c r="AB62" s="489"/>
      <c r="AC62" s="217"/>
      <c r="AD62" s="224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17"/>
      <c r="R63" s="224"/>
      <c r="S63" s="224"/>
      <c r="T63" s="224"/>
      <c r="U63" s="489"/>
      <c r="V63" s="489"/>
      <c r="W63" s="217"/>
      <c r="X63" s="224"/>
      <c r="Y63" s="224"/>
      <c r="Z63" s="224"/>
      <c r="AA63" s="489"/>
      <c r="AB63" s="489"/>
      <c r="AC63" s="217"/>
      <c r="AD63" s="224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17"/>
      <c r="R64" s="224"/>
      <c r="S64" s="224"/>
      <c r="T64" s="224"/>
      <c r="U64" s="489"/>
      <c r="V64" s="489"/>
      <c r="W64" s="217"/>
      <c r="X64" s="224"/>
      <c r="Y64" s="224"/>
      <c r="Z64" s="224"/>
      <c r="AA64" s="489"/>
      <c r="AB64" s="489"/>
      <c r="AC64" s="217"/>
      <c r="AD64" s="224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17"/>
      <c r="R65" s="224"/>
      <c r="S65" s="224"/>
      <c r="T65" s="224"/>
      <c r="U65" s="489"/>
      <c r="V65" s="489"/>
      <c r="W65" s="217"/>
      <c r="X65" s="224"/>
      <c r="Y65" s="224"/>
      <c r="Z65" s="224"/>
      <c r="AA65" s="489"/>
      <c r="AB65" s="489"/>
      <c r="AC65" s="217"/>
      <c r="AD65" s="224"/>
      <c r="AE65" s="489"/>
    </row>
    <row r="66" spans="3:31" ht="16.2" customHeight="1">
      <c r="C66" s="489"/>
      <c r="D66" s="489"/>
      <c r="E66" s="217"/>
      <c r="F66" s="224"/>
      <c r="G66" s="224"/>
      <c r="H66" s="224"/>
      <c r="I66" s="489"/>
      <c r="J66" s="489"/>
      <c r="K66" s="217"/>
      <c r="L66" s="224"/>
      <c r="M66" s="224"/>
      <c r="N66" s="224"/>
      <c r="O66" s="489"/>
      <c r="P66" s="489"/>
      <c r="Q66" s="217"/>
      <c r="R66" s="224"/>
      <c r="S66" s="224"/>
      <c r="T66" s="224"/>
      <c r="U66" s="489"/>
      <c r="V66" s="489"/>
      <c r="W66" s="217"/>
      <c r="X66" s="224"/>
      <c r="Y66" s="224"/>
      <c r="Z66" s="224"/>
      <c r="AA66" s="489"/>
      <c r="AB66" s="489"/>
      <c r="AC66" s="217"/>
      <c r="AD66" s="224"/>
      <c r="AE66" s="489"/>
    </row>
    <row r="67" spans="3:31" ht="16.2" customHeight="1">
      <c r="C67" s="489"/>
      <c r="D67" s="489"/>
      <c r="E67" s="217"/>
      <c r="F67" s="224"/>
      <c r="G67" s="224"/>
      <c r="H67" s="224"/>
      <c r="I67" s="489"/>
      <c r="J67" s="489"/>
      <c r="K67" s="217"/>
      <c r="L67" s="224"/>
      <c r="M67" s="224"/>
      <c r="N67" s="224"/>
      <c r="O67" s="489"/>
      <c r="P67" s="489"/>
      <c r="Q67" s="217"/>
      <c r="R67" s="224"/>
      <c r="S67" s="224"/>
      <c r="T67" s="224"/>
      <c r="U67" s="489"/>
      <c r="V67" s="489"/>
      <c r="W67" s="217"/>
      <c r="X67" s="224"/>
      <c r="Y67" s="224"/>
      <c r="Z67" s="224"/>
      <c r="AA67" s="489"/>
      <c r="AB67" s="489"/>
      <c r="AC67" s="217"/>
      <c r="AD67" s="224"/>
      <c r="AE67" s="489"/>
    </row>
    <row r="68" spans="3:31" ht="16.2" customHeight="1">
      <c r="C68" s="489"/>
      <c r="D68" s="489"/>
      <c r="E68" s="217"/>
      <c r="F68" s="224"/>
      <c r="G68" s="224"/>
      <c r="H68" s="224"/>
      <c r="I68" s="489"/>
      <c r="J68" s="489"/>
      <c r="K68" s="217"/>
      <c r="L68" s="224"/>
      <c r="M68" s="224"/>
      <c r="N68" s="224"/>
      <c r="O68" s="489"/>
      <c r="P68" s="489"/>
      <c r="Q68" s="217"/>
      <c r="R68" s="224"/>
      <c r="S68" s="224"/>
      <c r="T68" s="224"/>
      <c r="U68" s="489"/>
      <c r="V68" s="489"/>
      <c r="W68" s="217"/>
      <c r="X68" s="224"/>
      <c r="Y68" s="224"/>
      <c r="Z68" s="224"/>
      <c r="AA68" s="489"/>
      <c r="AB68" s="489"/>
      <c r="AC68" s="217"/>
      <c r="AD68" s="224"/>
      <c r="AE68" s="489"/>
    </row>
    <row r="69" spans="3:31" ht="16.2" customHeight="1">
      <c r="C69" s="489"/>
      <c r="D69" s="489"/>
      <c r="E69" s="217"/>
      <c r="F69" s="224"/>
      <c r="G69" s="224"/>
      <c r="H69" s="224"/>
      <c r="I69" s="489"/>
      <c r="J69" s="489"/>
      <c r="K69" s="217"/>
      <c r="L69" s="224"/>
      <c r="M69" s="224"/>
      <c r="N69" s="224"/>
      <c r="O69" s="489"/>
      <c r="P69" s="489"/>
      <c r="Q69" s="217"/>
      <c r="R69" s="224"/>
      <c r="S69" s="224"/>
      <c r="T69" s="224"/>
      <c r="U69" s="489"/>
      <c r="V69" s="489"/>
      <c r="W69" s="217"/>
      <c r="X69" s="224"/>
      <c r="Y69" s="224"/>
      <c r="Z69" s="224"/>
      <c r="AA69" s="489"/>
      <c r="AB69" s="489"/>
      <c r="AC69" s="217"/>
      <c r="AD69" s="224"/>
      <c r="AE69" s="489"/>
    </row>
    <row r="70" spans="3:31" ht="16.2" customHeight="1">
      <c r="C70" s="489"/>
      <c r="D70" s="489"/>
      <c r="E70" s="217"/>
      <c r="F70" s="224"/>
      <c r="G70" s="224"/>
      <c r="H70" s="224"/>
      <c r="I70" s="489"/>
      <c r="J70" s="489"/>
      <c r="K70" s="217"/>
      <c r="L70" s="224"/>
      <c r="M70" s="224"/>
      <c r="N70" s="224"/>
      <c r="O70" s="489"/>
      <c r="P70" s="489"/>
      <c r="Q70" s="217"/>
      <c r="R70" s="224"/>
      <c r="S70" s="224"/>
      <c r="T70" s="224"/>
      <c r="U70" s="489"/>
      <c r="V70" s="489"/>
      <c r="W70" s="217"/>
      <c r="X70" s="224"/>
      <c r="Y70" s="224"/>
      <c r="Z70" s="224"/>
      <c r="AA70" s="489"/>
      <c r="AB70" s="489"/>
      <c r="AC70" s="217"/>
      <c r="AD70" s="224"/>
      <c r="AE70" s="489"/>
    </row>
    <row r="71" spans="3:31" ht="16.2" customHeight="1">
      <c r="C71" s="489"/>
      <c r="D71" s="489"/>
      <c r="E71" s="217"/>
      <c r="F71" s="224"/>
      <c r="G71" s="224"/>
      <c r="H71" s="224"/>
      <c r="I71" s="489"/>
      <c r="J71" s="489"/>
      <c r="K71" s="217"/>
      <c r="L71" s="224"/>
      <c r="M71" s="224"/>
      <c r="N71" s="224"/>
      <c r="O71" s="489"/>
      <c r="P71" s="489"/>
      <c r="Q71" s="217"/>
      <c r="R71" s="224"/>
      <c r="S71" s="224"/>
      <c r="T71" s="224"/>
      <c r="U71" s="489"/>
      <c r="V71" s="489"/>
      <c r="W71" s="217"/>
      <c r="X71" s="224"/>
      <c r="Y71" s="224"/>
      <c r="Z71" s="224"/>
      <c r="AA71" s="489"/>
      <c r="AB71" s="489"/>
      <c r="AC71" s="217"/>
      <c r="AD71" s="224"/>
      <c r="AE71" s="489"/>
    </row>
    <row r="72" spans="3:31" ht="16.2" customHeight="1">
      <c r="C72" s="489"/>
      <c r="D72" s="489"/>
      <c r="E72" s="217"/>
      <c r="F72" s="224"/>
      <c r="G72" s="224"/>
      <c r="H72" s="224"/>
      <c r="I72" s="489"/>
      <c r="J72" s="489"/>
      <c r="K72" s="217"/>
      <c r="L72" s="224"/>
      <c r="M72" s="224"/>
      <c r="N72" s="224"/>
      <c r="O72" s="489"/>
      <c r="P72" s="489"/>
      <c r="Q72" s="217"/>
      <c r="R72" s="224"/>
      <c r="S72" s="224"/>
      <c r="T72" s="224"/>
      <c r="U72" s="489"/>
      <c r="V72" s="489"/>
      <c r="W72" s="217"/>
      <c r="X72" s="224"/>
      <c r="Y72" s="224"/>
      <c r="Z72" s="224"/>
      <c r="AA72" s="489"/>
      <c r="AB72" s="489"/>
      <c r="AC72" s="217"/>
      <c r="AD72" s="224"/>
      <c r="AE72" s="489"/>
    </row>
    <row r="73" spans="3:31" ht="16.2" customHeight="1">
      <c r="C73" s="489"/>
      <c r="D73" s="489"/>
      <c r="E73" s="217"/>
      <c r="F73" s="224"/>
      <c r="G73" s="224"/>
      <c r="H73" s="224"/>
      <c r="I73" s="489"/>
      <c r="J73" s="489"/>
      <c r="K73" s="217"/>
      <c r="L73" s="224"/>
      <c r="M73" s="224"/>
      <c r="N73" s="224"/>
      <c r="O73" s="489"/>
      <c r="P73" s="489"/>
      <c r="Q73" s="217"/>
      <c r="R73" s="224"/>
      <c r="S73" s="224"/>
      <c r="T73" s="224"/>
      <c r="U73" s="489"/>
      <c r="V73" s="489"/>
      <c r="W73" s="217"/>
      <c r="X73" s="224"/>
      <c r="Y73" s="224"/>
      <c r="Z73" s="224"/>
      <c r="AA73" s="489"/>
      <c r="AB73" s="489"/>
      <c r="AC73" s="217"/>
      <c r="AD73" s="224"/>
      <c r="AE73" s="489"/>
    </row>
    <row r="74" spans="3:31" ht="16.2" customHeight="1">
      <c r="C74" s="489"/>
      <c r="D74" s="489"/>
      <c r="E74" s="217"/>
      <c r="F74" s="224"/>
      <c r="G74" s="224"/>
      <c r="H74" s="224"/>
      <c r="I74" s="489"/>
      <c r="J74" s="489"/>
      <c r="K74" s="217"/>
      <c r="L74" s="224"/>
      <c r="M74" s="224"/>
      <c r="N74" s="224"/>
      <c r="O74" s="489"/>
      <c r="P74" s="489"/>
      <c r="Q74" s="217"/>
      <c r="R74" s="224"/>
      <c r="S74" s="224"/>
      <c r="T74" s="224"/>
      <c r="U74" s="489"/>
      <c r="V74" s="489"/>
      <c r="W74" s="217"/>
      <c r="X74" s="224"/>
      <c r="Y74" s="224"/>
      <c r="Z74" s="224"/>
      <c r="AA74" s="489"/>
      <c r="AB74" s="489"/>
      <c r="AC74" s="217"/>
      <c r="AD74" s="224"/>
      <c r="AE74" s="489"/>
    </row>
    <row r="75" spans="3:31" ht="16.2" customHeight="1">
      <c r="C75" s="489"/>
      <c r="D75" s="489"/>
      <c r="E75" s="217"/>
      <c r="F75" s="224"/>
      <c r="G75" s="224"/>
      <c r="H75" s="224"/>
      <c r="I75" s="489"/>
      <c r="J75" s="489"/>
      <c r="K75" s="217"/>
      <c r="L75" s="224"/>
      <c r="M75" s="224"/>
      <c r="N75" s="224"/>
      <c r="O75" s="489"/>
      <c r="P75" s="489"/>
      <c r="Q75" s="217"/>
      <c r="R75" s="224"/>
      <c r="S75" s="224"/>
      <c r="T75" s="224"/>
      <c r="U75" s="489"/>
      <c r="V75" s="489"/>
      <c r="W75" s="217"/>
      <c r="X75" s="224"/>
      <c r="Y75" s="224"/>
      <c r="Z75" s="224"/>
      <c r="AA75" s="489"/>
      <c r="AB75" s="489"/>
      <c r="AC75" s="217"/>
      <c r="AD75" s="224"/>
      <c r="AE75" s="489"/>
    </row>
    <row r="76" spans="3:31" ht="16.2" customHeight="1">
      <c r="C76" s="489"/>
      <c r="D76" s="489"/>
      <c r="E76" s="217"/>
      <c r="F76" s="224"/>
      <c r="G76" s="224"/>
      <c r="H76" s="224"/>
      <c r="I76" s="489"/>
      <c r="J76" s="489"/>
      <c r="K76" s="217"/>
      <c r="L76" s="224"/>
      <c r="M76" s="224"/>
      <c r="N76" s="224"/>
      <c r="O76" s="489"/>
      <c r="P76" s="489"/>
      <c r="Q76" s="217"/>
      <c r="R76" s="224"/>
      <c r="S76" s="224"/>
      <c r="T76" s="224"/>
      <c r="U76" s="489"/>
      <c r="V76" s="489"/>
      <c r="W76" s="217"/>
      <c r="X76" s="224"/>
      <c r="Y76" s="224"/>
      <c r="Z76" s="224"/>
      <c r="AA76" s="489"/>
      <c r="AB76" s="489"/>
      <c r="AC76" s="217"/>
      <c r="AD76" s="224"/>
      <c r="AE76" s="489"/>
    </row>
    <row r="77" spans="3:31" ht="16.2" customHeight="1">
      <c r="C77" s="489"/>
      <c r="D77" s="489"/>
      <c r="E77" s="217"/>
      <c r="F77" s="224"/>
      <c r="G77" s="224"/>
      <c r="H77" s="224"/>
      <c r="I77" s="489"/>
      <c r="J77" s="489"/>
      <c r="K77" s="217"/>
      <c r="L77" s="224"/>
      <c r="M77" s="224"/>
      <c r="N77" s="224"/>
      <c r="O77" s="489"/>
      <c r="P77" s="489"/>
      <c r="Q77" s="217"/>
      <c r="R77" s="224"/>
      <c r="S77" s="224"/>
      <c r="T77" s="224"/>
      <c r="U77" s="489"/>
      <c r="V77" s="489"/>
      <c r="W77" s="217"/>
      <c r="X77" s="224"/>
      <c r="Y77" s="224"/>
      <c r="Z77" s="224"/>
      <c r="AA77" s="489"/>
      <c r="AB77" s="489"/>
      <c r="AC77" s="217"/>
      <c r="AD77" s="224"/>
      <c r="AE77" s="489"/>
    </row>
    <row r="78" spans="3:31" ht="16.2" customHeight="1">
      <c r="C78" s="489"/>
      <c r="D78" s="489"/>
      <c r="E78" s="217"/>
      <c r="F78" s="224"/>
      <c r="G78" s="224"/>
      <c r="H78" s="224"/>
      <c r="I78" s="489"/>
      <c r="J78" s="489"/>
      <c r="K78" s="217"/>
      <c r="L78" s="224"/>
      <c r="M78" s="224"/>
      <c r="N78" s="224"/>
      <c r="O78" s="489"/>
      <c r="P78" s="489"/>
      <c r="Q78" s="217"/>
      <c r="R78" s="224"/>
      <c r="S78" s="224"/>
      <c r="T78" s="224"/>
      <c r="U78" s="489"/>
      <c r="V78" s="489"/>
      <c r="W78" s="217"/>
      <c r="X78" s="224"/>
      <c r="Y78" s="224"/>
      <c r="Z78" s="224"/>
      <c r="AA78" s="489"/>
      <c r="AB78" s="489"/>
      <c r="AC78" s="217"/>
      <c r="AD78" s="224"/>
      <c r="AE78" s="489"/>
    </row>
    <row r="79" spans="3:31" ht="16.2" customHeight="1">
      <c r="C79" s="489"/>
      <c r="D79" s="489"/>
      <c r="E79" s="217"/>
      <c r="F79" s="224"/>
      <c r="G79" s="224"/>
      <c r="H79" s="224"/>
      <c r="I79" s="489"/>
      <c r="J79" s="489"/>
      <c r="K79" s="217"/>
      <c r="L79" s="224"/>
      <c r="M79" s="224"/>
      <c r="N79" s="224"/>
      <c r="O79" s="489"/>
      <c r="P79" s="489"/>
      <c r="Q79" s="217"/>
      <c r="R79" s="224"/>
      <c r="S79" s="224"/>
      <c r="T79" s="224"/>
      <c r="U79" s="489"/>
      <c r="V79" s="489"/>
      <c r="W79" s="217"/>
      <c r="X79" s="224"/>
      <c r="Y79" s="224"/>
      <c r="Z79" s="224"/>
      <c r="AA79" s="489"/>
      <c r="AB79" s="489"/>
      <c r="AC79" s="217"/>
      <c r="AD79" s="224"/>
      <c r="AE79" s="489"/>
    </row>
    <row r="80" spans="3:31" ht="16.2" customHeight="1">
      <c r="C80" s="489"/>
      <c r="D80" s="489"/>
      <c r="E80" s="217"/>
      <c r="F80" s="224"/>
      <c r="G80" s="224"/>
      <c r="H80" s="224"/>
      <c r="I80" s="489"/>
      <c r="J80" s="489"/>
      <c r="K80" s="217"/>
      <c r="L80" s="224"/>
      <c r="M80" s="224"/>
      <c r="N80" s="224"/>
      <c r="O80" s="489"/>
      <c r="P80" s="489"/>
      <c r="Q80" s="217"/>
      <c r="R80" s="224"/>
      <c r="S80" s="224"/>
      <c r="T80" s="224"/>
      <c r="U80" s="489"/>
      <c r="V80" s="489"/>
      <c r="W80" s="217"/>
      <c r="X80" s="224"/>
      <c r="Y80" s="224"/>
      <c r="Z80" s="224"/>
      <c r="AA80" s="489"/>
      <c r="AB80" s="489"/>
      <c r="AC80" s="217"/>
      <c r="AD80" s="224"/>
      <c r="AE80" s="489"/>
    </row>
    <row r="81" spans="3:31" ht="16.2" customHeight="1">
      <c r="C81" s="489"/>
      <c r="D81" s="489"/>
      <c r="E81" s="217"/>
      <c r="F81" s="224"/>
      <c r="G81" s="224"/>
      <c r="H81" s="224"/>
      <c r="I81" s="489"/>
      <c r="J81" s="489"/>
      <c r="K81" s="217"/>
      <c r="L81" s="224"/>
      <c r="M81" s="224"/>
      <c r="N81" s="224"/>
      <c r="O81" s="489"/>
      <c r="P81" s="489"/>
      <c r="Q81" s="217"/>
      <c r="R81" s="224"/>
      <c r="S81" s="224"/>
      <c r="T81" s="224"/>
      <c r="U81" s="489"/>
      <c r="V81" s="489"/>
      <c r="W81" s="217"/>
      <c r="X81" s="224"/>
      <c r="Y81" s="224"/>
      <c r="Z81" s="224"/>
      <c r="AA81" s="489"/>
      <c r="AB81" s="489"/>
      <c r="AC81" s="217"/>
      <c r="AD81" s="224"/>
      <c r="AE81" s="489"/>
    </row>
    <row r="82" spans="3:31" ht="16.2" customHeight="1">
      <c r="C82" s="489"/>
      <c r="D82" s="489"/>
      <c r="E82" s="217"/>
      <c r="F82" s="224"/>
      <c r="G82" s="224"/>
      <c r="H82" s="224"/>
      <c r="I82" s="489"/>
      <c r="J82" s="489"/>
      <c r="K82" s="217"/>
      <c r="L82" s="224"/>
      <c r="M82" s="224"/>
      <c r="N82" s="224"/>
      <c r="O82" s="489"/>
      <c r="P82" s="489"/>
      <c r="Q82" s="217"/>
      <c r="R82" s="224"/>
      <c r="S82" s="224"/>
      <c r="T82" s="224"/>
      <c r="U82" s="489"/>
      <c r="V82" s="489"/>
      <c r="W82" s="217"/>
      <c r="X82" s="224"/>
      <c r="Y82" s="224"/>
      <c r="Z82" s="224"/>
      <c r="AA82" s="489"/>
      <c r="AB82" s="489"/>
      <c r="AC82" s="217"/>
      <c r="AD82" s="224"/>
      <c r="AE82" s="489"/>
    </row>
    <row r="83" spans="3:31" ht="16.2" customHeight="1">
      <c r="C83" s="489"/>
      <c r="D83" s="489"/>
      <c r="E83" s="217"/>
      <c r="F83" s="224"/>
      <c r="G83" s="224"/>
      <c r="H83" s="224"/>
      <c r="I83" s="489"/>
      <c r="J83" s="489"/>
      <c r="K83" s="217"/>
      <c r="L83" s="224"/>
      <c r="M83" s="224"/>
      <c r="N83" s="224"/>
      <c r="O83" s="489"/>
      <c r="P83" s="489"/>
      <c r="Q83" s="217"/>
      <c r="R83" s="224"/>
      <c r="S83" s="224"/>
      <c r="T83" s="224"/>
      <c r="U83" s="489"/>
      <c r="V83" s="489"/>
      <c r="W83" s="217"/>
      <c r="X83" s="224"/>
      <c r="Y83" s="224"/>
      <c r="Z83" s="224"/>
      <c r="AA83" s="489"/>
      <c r="AB83" s="489"/>
      <c r="AC83" s="217"/>
      <c r="AD83" s="224"/>
      <c r="AE83" s="489"/>
    </row>
    <row r="84" spans="3:31" ht="16.2" customHeight="1">
      <c r="C84" s="489"/>
      <c r="D84" s="489"/>
      <c r="E84" s="217"/>
      <c r="F84" s="224"/>
      <c r="G84" s="224"/>
      <c r="H84" s="224"/>
      <c r="I84" s="489"/>
      <c r="J84" s="489"/>
      <c r="K84" s="217"/>
      <c r="L84" s="224"/>
      <c r="M84" s="224"/>
      <c r="N84" s="224"/>
      <c r="O84" s="489"/>
      <c r="P84" s="489"/>
      <c r="Q84" s="217"/>
      <c r="R84" s="224"/>
      <c r="S84" s="224"/>
      <c r="T84" s="224"/>
      <c r="U84" s="489"/>
      <c r="V84" s="489"/>
      <c r="W84" s="217"/>
      <c r="X84" s="224"/>
      <c r="Y84" s="224"/>
      <c r="Z84" s="224"/>
      <c r="AA84" s="489"/>
      <c r="AB84" s="489"/>
      <c r="AC84" s="217"/>
      <c r="AD84" s="224"/>
      <c r="AE84" s="489"/>
    </row>
    <row r="85" spans="3:31" ht="16.2" customHeight="1">
      <c r="C85" s="489"/>
      <c r="D85" s="489"/>
      <c r="E85" s="217"/>
      <c r="F85" s="224"/>
      <c r="G85" s="224"/>
      <c r="H85" s="224"/>
      <c r="I85" s="489"/>
      <c r="J85" s="489"/>
      <c r="K85" s="217"/>
      <c r="L85" s="224"/>
      <c r="M85" s="224"/>
      <c r="N85" s="224"/>
      <c r="O85" s="489"/>
      <c r="P85" s="489"/>
      <c r="Q85" s="217"/>
      <c r="R85" s="224"/>
      <c r="S85" s="224"/>
      <c r="T85" s="224"/>
      <c r="U85" s="489"/>
      <c r="V85" s="489"/>
      <c r="W85" s="217"/>
      <c r="X85" s="224"/>
      <c r="Y85" s="224"/>
      <c r="Z85" s="224"/>
      <c r="AA85" s="489"/>
      <c r="AB85" s="489"/>
      <c r="AC85" s="217"/>
      <c r="AD85" s="224"/>
      <c r="AE85" s="489"/>
    </row>
    <row r="86" spans="3:31" ht="16.2" customHeight="1">
      <c r="C86" s="489"/>
      <c r="D86" s="489"/>
      <c r="E86" s="217"/>
      <c r="F86" s="224"/>
      <c r="G86" s="224"/>
      <c r="H86" s="224"/>
      <c r="I86" s="489"/>
      <c r="J86" s="489"/>
      <c r="K86" s="217"/>
      <c r="L86" s="224"/>
      <c r="M86" s="224"/>
      <c r="N86" s="224"/>
      <c r="O86" s="489"/>
      <c r="P86" s="489"/>
      <c r="Q86" s="217"/>
      <c r="R86" s="224"/>
      <c r="S86" s="224"/>
      <c r="T86" s="224"/>
      <c r="U86" s="489"/>
      <c r="V86" s="489"/>
      <c r="W86" s="217"/>
      <c r="X86" s="224"/>
      <c r="Y86" s="224"/>
      <c r="Z86" s="224"/>
      <c r="AA86" s="489"/>
      <c r="AB86" s="489"/>
      <c r="AC86" s="217"/>
      <c r="AD86" s="224"/>
      <c r="AE86" s="489"/>
    </row>
    <row r="87" spans="3:31" ht="16.2" customHeight="1">
      <c r="C87" s="489"/>
      <c r="D87" s="489"/>
      <c r="E87" s="217"/>
      <c r="F87" s="224"/>
      <c r="G87" s="224"/>
      <c r="H87" s="224"/>
      <c r="I87" s="489"/>
      <c r="J87" s="489"/>
      <c r="K87" s="217"/>
      <c r="L87" s="224"/>
      <c r="M87" s="224"/>
      <c r="N87" s="224"/>
      <c r="O87" s="489"/>
      <c r="P87" s="489"/>
      <c r="Q87" s="217"/>
      <c r="R87" s="224"/>
      <c r="S87" s="224"/>
      <c r="T87" s="224"/>
      <c r="U87" s="489"/>
      <c r="V87" s="489"/>
      <c r="W87" s="217"/>
      <c r="X87" s="224"/>
      <c r="Y87" s="224"/>
      <c r="Z87" s="224"/>
      <c r="AA87" s="489"/>
      <c r="AB87" s="489"/>
      <c r="AC87" s="217"/>
      <c r="AD87" s="224"/>
      <c r="AE87" s="489"/>
    </row>
    <row r="88" spans="3:31" ht="16.2" customHeight="1">
      <c r="C88" s="489"/>
      <c r="D88" s="489"/>
      <c r="E88" s="217"/>
      <c r="F88" s="224"/>
      <c r="G88" s="224"/>
      <c r="H88" s="224"/>
      <c r="I88" s="489"/>
      <c r="J88" s="489"/>
      <c r="K88" s="217"/>
      <c r="L88" s="224"/>
      <c r="M88" s="224"/>
      <c r="N88" s="224"/>
      <c r="O88" s="489"/>
      <c r="P88" s="489"/>
      <c r="Q88" s="217"/>
      <c r="R88" s="224"/>
      <c r="S88" s="224"/>
      <c r="T88" s="224"/>
      <c r="U88" s="489"/>
      <c r="V88" s="489"/>
      <c r="W88" s="217"/>
      <c r="X88" s="224"/>
      <c r="Y88" s="224"/>
      <c r="Z88" s="224"/>
      <c r="AA88" s="489"/>
      <c r="AB88" s="489"/>
      <c r="AC88" s="217"/>
      <c r="AD88" s="224"/>
      <c r="AE88" s="489"/>
    </row>
    <row r="89" spans="3:31" ht="16.2" customHeight="1">
      <c r="C89" s="489"/>
      <c r="D89" s="489"/>
      <c r="E89" s="217"/>
      <c r="F89" s="224"/>
      <c r="G89" s="224"/>
      <c r="H89" s="224"/>
      <c r="I89" s="489"/>
      <c r="J89" s="489"/>
      <c r="K89" s="217"/>
      <c r="L89" s="224"/>
      <c r="M89" s="224"/>
      <c r="N89" s="224"/>
      <c r="O89" s="489"/>
      <c r="P89" s="489"/>
      <c r="Q89" s="217"/>
      <c r="R89" s="224"/>
      <c r="S89" s="224"/>
      <c r="T89" s="224"/>
      <c r="U89" s="489"/>
      <c r="V89" s="489"/>
      <c r="W89" s="217"/>
      <c r="X89" s="224"/>
      <c r="Y89" s="224"/>
      <c r="Z89" s="224"/>
      <c r="AA89" s="489"/>
      <c r="AB89" s="489"/>
      <c r="AC89" s="217"/>
      <c r="AD89" s="224"/>
      <c r="AE89" s="489"/>
    </row>
    <row r="90" spans="3:31" ht="16.2" customHeight="1">
      <c r="C90" s="489"/>
      <c r="D90" s="489"/>
      <c r="E90" s="217"/>
      <c r="F90" s="224"/>
      <c r="G90" s="224"/>
      <c r="H90" s="224"/>
      <c r="I90" s="489"/>
      <c r="J90" s="489"/>
      <c r="K90" s="217"/>
      <c r="L90" s="224"/>
      <c r="M90" s="224"/>
      <c r="N90" s="224"/>
      <c r="O90" s="489"/>
      <c r="P90" s="489"/>
      <c r="Q90" s="217"/>
      <c r="R90" s="224"/>
      <c r="S90" s="224"/>
      <c r="T90" s="224"/>
      <c r="U90" s="489"/>
      <c r="V90" s="489"/>
      <c r="W90" s="217"/>
      <c r="X90" s="224"/>
      <c r="Y90" s="224"/>
      <c r="Z90" s="224"/>
      <c r="AA90" s="489"/>
      <c r="AB90" s="489"/>
      <c r="AC90" s="217"/>
      <c r="AD90" s="224"/>
      <c r="AE90" s="489"/>
    </row>
    <row r="91" spans="3:31" ht="16.2" customHeight="1">
      <c r="C91" s="489"/>
      <c r="D91" s="489"/>
      <c r="E91" s="217"/>
      <c r="F91" s="224"/>
      <c r="G91" s="224"/>
      <c r="H91" s="224"/>
      <c r="I91" s="489"/>
      <c r="J91" s="489"/>
      <c r="K91" s="217"/>
      <c r="L91" s="224"/>
      <c r="M91" s="224"/>
      <c r="N91" s="224"/>
      <c r="O91" s="489"/>
      <c r="P91" s="489"/>
      <c r="Q91" s="217"/>
      <c r="R91" s="224"/>
      <c r="S91" s="224"/>
      <c r="T91" s="224"/>
      <c r="U91" s="489"/>
      <c r="V91" s="489"/>
      <c r="W91" s="217"/>
      <c r="X91" s="224"/>
      <c r="Y91" s="224"/>
      <c r="Z91" s="224"/>
      <c r="AA91" s="489"/>
      <c r="AB91" s="489"/>
      <c r="AC91" s="217"/>
      <c r="AD91" s="224"/>
      <c r="AE91" s="489"/>
    </row>
    <row r="92" spans="3:31" ht="16.2" customHeight="1">
      <c r="C92" s="489"/>
      <c r="D92" s="489"/>
      <c r="E92" s="217"/>
      <c r="F92" s="224"/>
      <c r="G92" s="224"/>
      <c r="H92" s="224"/>
      <c r="I92" s="489"/>
      <c r="J92" s="489"/>
      <c r="K92" s="217"/>
      <c r="L92" s="224"/>
      <c r="M92" s="224"/>
      <c r="N92" s="224"/>
      <c r="O92" s="489"/>
      <c r="P92" s="489"/>
      <c r="Q92" s="217"/>
      <c r="R92" s="224"/>
      <c r="S92" s="224"/>
      <c r="T92" s="224"/>
      <c r="U92" s="489"/>
      <c r="V92" s="489"/>
      <c r="W92" s="217"/>
      <c r="X92" s="224"/>
      <c r="Y92" s="224"/>
      <c r="Z92" s="224"/>
      <c r="AA92" s="489"/>
      <c r="AB92" s="489"/>
      <c r="AC92" s="217"/>
      <c r="AD92" s="224"/>
      <c r="AE92" s="489"/>
    </row>
    <row r="93" spans="3:31" ht="16.2" customHeight="1">
      <c r="C93" s="489"/>
      <c r="D93" s="489"/>
      <c r="E93" s="217"/>
      <c r="F93" s="224"/>
      <c r="G93" s="224"/>
      <c r="H93" s="224"/>
      <c r="I93" s="489"/>
      <c r="J93" s="489"/>
      <c r="K93" s="217"/>
      <c r="L93" s="224"/>
      <c r="M93" s="224"/>
      <c r="N93" s="224"/>
      <c r="O93" s="489"/>
      <c r="P93" s="489"/>
      <c r="Q93" s="217"/>
      <c r="R93" s="224"/>
      <c r="S93" s="224"/>
      <c r="T93" s="224"/>
      <c r="U93" s="489"/>
      <c r="V93" s="489"/>
      <c r="W93" s="217"/>
      <c r="X93" s="224"/>
      <c r="Y93" s="224"/>
      <c r="Z93" s="224"/>
      <c r="AA93" s="489"/>
      <c r="AB93" s="489"/>
      <c r="AC93" s="217"/>
      <c r="AD93" s="224"/>
      <c r="AE93" s="489"/>
    </row>
    <row r="94" spans="3:31" ht="16.2" customHeight="1">
      <c r="C94" s="489"/>
      <c r="D94" s="489"/>
      <c r="E94" s="217"/>
      <c r="F94" s="224"/>
      <c r="G94" s="224"/>
      <c r="H94" s="224"/>
      <c r="I94" s="489"/>
      <c r="J94" s="489"/>
      <c r="K94" s="217"/>
      <c r="L94" s="224"/>
      <c r="M94" s="224"/>
      <c r="N94" s="224"/>
      <c r="O94" s="489"/>
      <c r="P94" s="489"/>
      <c r="Q94" s="217"/>
      <c r="R94" s="224"/>
      <c r="S94" s="224"/>
      <c r="T94" s="224"/>
      <c r="U94" s="489"/>
      <c r="V94" s="489"/>
      <c r="W94" s="217"/>
      <c r="X94" s="224"/>
      <c r="Y94" s="224"/>
      <c r="Z94" s="224"/>
      <c r="AA94" s="489"/>
      <c r="AB94" s="489"/>
      <c r="AC94" s="217"/>
      <c r="AD94" s="224"/>
      <c r="AE94" s="489"/>
    </row>
    <row r="95" spans="3:31" ht="16.2" customHeight="1">
      <c r="C95" s="489"/>
      <c r="D95" s="489"/>
      <c r="E95" s="217"/>
      <c r="F95" s="224"/>
      <c r="G95" s="224"/>
      <c r="H95" s="224"/>
      <c r="I95" s="489"/>
      <c r="J95" s="489"/>
      <c r="K95" s="217"/>
      <c r="L95" s="224"/>
      <c r="M95" s="224"/>
      <c r="N95" s="224"/>
      <c r="O95" s="489"/>
      <c r="P95" s="489"/>
      <c r="Q95" s="217"/>
      <c r="R95" s="224"/>
      <c r="S95" s="224"/>
      <c r="T95" s="224"/>
      <c r="U95" s="489"/>
      <c r="V95" s="489"/>
      <c r="W95" s="217"/>
      <c r="X95" s="224"/>
      <c r="Y95" s="224"/>
      <c r="Z95" s="224"/>
      <c r="AA95" s="489"/>
      <c r="AB95" s="489"/>
      <c r="AC95" s="217"/>
      <c r="AD95" s="224"/>
      <c r="AE95" s="489"/>
    </row>
    <row r="96" spans="3:31" ht="16.2" customHeight="1">
      <c r="C96" s="489"/>
      <c r="D96" s="489"/>
      <c r="E96" s="217"/>
      <c r="F96" s="224"/>
      <c r="G96" s="224"/>
      <c r="H96" s="224"/>
      <c r="I96" s="489"/>
      <c r="J96" s="489"/>
      <c r="K96" s="217"/>
      <c r="L96" s="224"/>
      <c r="M96" s="224"/>
      <c r="N96" s="224"/>
      <c r="O96" s="489"/>
      <c r="P96" s="489"/>
      <c r="Q96" s="217"/>
      <c r="R96" s="224"/>
      <c r="S96" s="224"/>
      <c r="T96" s="224"/>
      <c r="U96" s="489"/>
      <c r="V96" s="489"/>
      <c r="W96" s="217"/>
      <c r="X96" s="224"/>
      <c r="Y96" s="224"/>
      <c r="Z96" s="224"/>
      <c r="AA96" s="489"/>
      <c r="AB96" s="489"/>
      <c r="AC96" s="217"/>
      <c r="AD96" s="224"/>
      <c r="AE96" s="489"/>
    </row>
    <row r="97" spans="3:31" ht="16.2" customHeight="1">
      <c r="C97" s="489"/>
      <c r="D97" s="489"/>
      <c r="E97" s="217"/>
      <c r="F97" s="224"/>
      <c r="G97" s="224"/>
      <c r="H97" s="224"/>
      <c r="I97" s="489"/>
      <c r="J97" s="489"/>
      <c r="K97" s="217"/>
      <c r="L97" s="224"/>
      <c r="M97" s="224"/>
      <c r="N97" s="224"/>
      <c r="O97" s="489"/>
      <c r="P97" s="489"/>
      <c r="Q97" s="217"/>
      <c r="R97" s="224"/>
      <c r="S97" s="224"/>
      <c r="T97" s="224"/>
      <c r="U97" s="489"/>
      <c r="V97" s="489"/>
      <c r="W97" s="217"/>
      <c r="X97" s="224"/>
      <c r="Y97" s="224"/>
      <c r="Z97" s="224"/>
      <c r="AA97" s="489"/>
      <c r="AB97" s="489"/>
      <c r="AC97" s="217"/>
      <c r="AD97" s="224"/>
      <c r="AE97" s="489"/>
    </row>
    <row r="98" spans="3:31" ht="16.2" customHeight="1">
      <c r="C98" s="489"/>
      <c r="D98" s="489"/>
      <c r="E98" s="217"/>
      <c r="F98" s="224"/>
      <c r="G98" s="224"/>
      <c r="H98" s="224"/>
      <c r="I98" s="489"/>
      <c r="J98" s="489"/>
      <c r="K98" s="217"/>
      <c r="L98" s="224"/>
      <c r="M98" s="224"/>
      <c r="N98" s="224"/>
      <c r="O98" s="489"/>
      <c r="P98" s="489"/>
      <c r="Q98" s="217"/>
      <c r="R98" s="224"/>
      <c r="S98" s="224"/>
      <c r="T98" s="224"/>
      <c r="U98" s="489"/>
      <c r="V98" s="489"/>
      <c r="W98" s="217"/>
      <c r="X98" s="224"/>
      <c r="Y98" s="224"/>
      <c r="Z98" s="224"/>
      <c r="AA98" s="489"/>
      <c r="AB98" s="489"/>
      <c r="AC98" s="217"/>
      <c r="AD98" s="224"/>
      <c r="AE98" s="489"/>
    </row>
    <row r="99" spans="3:31" ht="16.2" customHeight="1">
      <c r="C99" s="489"/>
      <c r="D99" s="489"/>
      <c r="E99" s="217"/>
      <c r="F99" s="224"/>
      <c r="G99" s="224"/>
      <c r="H99" s="224"/>
      <c r="I99" s="489"/>
      <c r="J99" s="489"/>
      <c r="K99" s="217"/>
      <c r="L99" s="224"/>
      <c r="M99" s="224"/>
      <c r="N99" s="224"/>
      <c r="O99" s="489"/>
      <c r="P99" s="489"/>
      <c r="Q99" s="217"/>
      <c r="R99" s="224"/>
      <c r="S99" s="224"/>
      <c r="T99" s="224"/>
      <c r="U99" s="489"/>
      <c r="V99" s="489"/>
      <c r="W99" s="217"/>
      <c r="X99" s="224"/>
      <c r="Y99" s="224"/>
      <c r="Z99" s="224"/>
      <c r="AA99" s="489"/>
      <c r="AB99" s="489"/>
      <c r="AC99" s="217"/>
      <c r="AD99" s="224"/>
      <c r="AE99" s="489"/>
    </row>
    <row r="100" spans="3:31" ht="16.2" customHeight="1">
      <c r="C100" s="489"/>
      <c r="D100" s="489"/>
      <c r="E100" s="217"/>
      <c r="F100" s="224"/>
      <c r="G100" s="224"/>
      <c r="H100" s="224"/>
      <c r="I100" s="489"/>
      <c r="J100" s="489"/>
      <c r="K100" s="217"/>
      <c r="L100" s="224"/>
      <c r="M100" s="224"/>
      <c r="N100" s="224"/>
      <c r="O100" s="489"/>
      <c r="P100" s="489"/>
      <c r="Q100" s="217"/>
      <c r="R100" s="224"/>
      <c r="S100" s="224"/>
      <c r="T100" s="224"/>
      <c r="U100" s="489"/>
      <c r="V100" s="489"/>
      <c r="W100" s="217"/>
      <c r="X100" s="224"/>
      <c r="Y100" s="224"/>
      <c r="Z100" s="224"/>
      <c r="AA100" s="489"/>
      <c r="AB100" s="489"/>
      <c r="AC100" s="217"/>
      <c r="AD100" s="224"/>
      <c r="AE100" s="489"/>
    </row>
    <row r="101" spans="3:31" ht="16.2" customHeight="1">
      <c r="C101" s="489"/>
      <c r="D101" s="489"/>
      <c r="E101" s="217"/>
      <c r="F101" s="224"/>
      <c r="G101" s="224"/>
      <c r="H101" s="224"/>
      <c r="I101" s="489"/>
      <c r="J101" s="489"/>
      <c r="K101" s="217"/>
      <c r="L101" s="224"/>
      <c r="M101" s="224"/>
      <c r="N101" s="224"/>
      <c r="O101" s="489"/>
      <c r="P101" s="489"/>
      <c r="Q101" s="217"/>
      <c r="R101" s="224"/>
      <c r="S101" s="224"/>
      <c r="T101" s="224"/>
      <c r="U101" s="489"/>
      <c r="V101" s="489"/>
      <c r="W101" s="217"/>
      <c r="X101" s="224"/>
      <c r="Y101" s="224"/>
      <c r="Z101" s="224"/>
      <c r="AA101" s="489"/>
      <c r="AB101" s="489"/>
      <c r="AC101" s="217"/>
      <c r="AD101" s="224"/>
      <c r="AE101" s="489"/>
    </row>
    <row r="102" spans="3:31" ht="16.2" customHeight="1">
      <c r="C102" s="489"/>
      <c r="D102" s="489"/>
      <c r="E102" s="217"/>
      <c r="F102" s="224"/>
      <c r="G102" s="224"/>
      <c r="H102" s="224"/>
      <c r="I102" s="489"/>
      <c r="J102" s="489"/>
      <c r="K102" s="217"/>
      <c r="L102" s="224"/>
      <c r="M102" s="224"/>
      <c r="N102" s="224"/>
      <c r="O102" s="489"/>
      <c r="P102" s="489"/>
      <c r="Q102" s="217"/>
      <c r="R102" s="224"/>
      <c r="S102" s="224"/>
      <c r="T102" s="224"/>
      <c r="U102" s="489"/>
      <c r="V102" s="489"/>
      <c r="W102" s="217"/>
      <c r="X102" s="224"/>
      <c r="Y102" s="224"/>
      <c r="Z102" s="224"/>
      <c r="AA102" s="489"/>
      <c r="AB102" s="489"/>
      <c r="AC102" s="217"/>
      <c r="AD102" s="224"/>
      <c r="AE102" s="489"/>
    </row>
    <row r="103" spans="3:31" ht="16.2" customHeight="1">
      <c r="C103" s="489"/>
      <c r="D103" s="489"/>
      <c r="E103" s="217"/>
      <c r="F103" s="224"/>
      <c r="G103" s="224"/>
      <c r="H103" s="224"/>
      <c r="I103" s="489"/>
      <c r="J103" s="489"/>
      <c r="K103" s="217"/>
      <c r="L103" s="224"/>
      <c r="M103" s="224"/>
      <c r="N103" s="224"/>
      <c r="O103" s="489"/>
      <c r="P103" s="489"/>
      <c r="Q103" s="217"/>
      <c r="R103" s="224"/>
      <c r="S103" s="224"/>
      <c r="T103" s="224"/>
      <c r="U103" s="489"/>
      <c r="V103" s="489"/>
      <c r="W103" s="217"/>
      <c r="X103" s="224"/>
      <c r="Y103" s="224"/>
      <c r="Z103" s="224"/>
      <c r="AA103" s="489"/>
      <c r="AB103" s="489"/>
      <c r="AC103" s="217"/>
      <c r="AD103" s="224"/>
      <c r="AE103" s="489"/>
    </row>
    <row r="104" spans="3:31" ht="16.2" customHeight="1">
      <c r="C104" s="489"/>
      <c r="D104" s="489"/>
      <c r="E104" s="217"/>
      <c r="F104" s="224"/>
      <c r="G104" s="224"/>
      <c r="H104" s="224"/>
      <c r="I104" s="489"/>
      <c r="J104" s="489"/>
      <c r="K104" s="217"/>
      <c r="L104" s="224"/>
      <c r="M104" s="224"/>
      <c r="N104" s="224"/>
      <c r="O104" s="489"/>
      <c r="P104" s="489"/>
      <c r="Q104" s="217"/>
      <c r="R104" s="224"/>
      <c r="S104" s="224"/>
      <c r="T104" s="224"/>
      <c r="U104" s="489"/>
      <c r="V104" s="489"/>
      <c r="W104" s="217"/>
      <c r="X104" s="224"/>
      <c r="Y104" s="224"/>
      <c r="Z104" s="224"/>
      <c r="AA104" s="489"/>
      <c r="AB104" s="489"/>
      <c r="AC104" s="217"/>
      <c r="AD104" s="224"/>
      <c r="AE104" s="489"/>
    </row>
    <row r="105" spans="3:31" ht="16.2" customHeight="1">
      <c r="C105" s="489"/>
      <c r="D105" s="489"/>
      <c r="E105" s="217"/>
      <c r="F105" s="224"/>
      <c r="G105" s="224"/>
      <c r="H105" s="224"/>
      <c r="I105" s="489"/>
      <c r="J105" s="489"/>
      <c r="K105" s="217"/>
      <c r="L105" s="224"/>
      <c r="M105" s="224"/>
      <c r="N105" s="224"/>
      <c r="O105" s="489"/>
      <c r="P105" s="489"/>
      <c r="Q105" s="217"/>
      <c r="R105" s="224"/>
      <c r="S105" s="224"/>
      <c r="T105" s="224"/>
      <c r="U105" s="489"/>
      <c r="V105" s="489"/>
      <c r="W105" s="217"/>
      <c r="X105" s="224"/>
      <c r="Y105" s="224"/>
      <c r="Z105" s="224"/>
      <c r="AA105" s="489"/>
      <c r="AB105" s="489"/>
      <c r="AC105" s="217"/>
      <c r="AD105" s="224"/>
      <c r="AE105" s="489"/>
    </row>
    <row r="106" spans="3:31" ht="16.2" customHeight="1">
      <c r="C106" s="489"/>
      <c r="D106" s="489"/>
      <c r="E106" s="217"/>
      <c r="F106" s="224"/>
      <c r="G106" s="224"/>
      <c r="H106" s="224"/>
      <c r="I106" s="489"/>
      <c r="J106" s="489"/>
      <c r="K106" s="217"/>
      <c r="L106" s="224"/>
      <c r="M106" s="224"/>
      <c r="N106" s="224"/>
      <c r="O106" s="489"/>
      <c r="P106" s="489"/>
      <c r="Q106" s="217"/>
      <c r="R106" s="224"/>
      <c r="S106" s="224"/>
      <c r="T106" s="224"/>
      <c r="U106" s="489"/>
      <c r="V106" s="489"/>
      <c r="W106" s="217"/>
      <c r="X106" s="224"/>
      <c r="Y106" s="224"/>
      <c r="Z106" s="224"/>
      <c r="AA106" s="489"/>
      <c r="AB106" s="489"/>
      <c r="AC106" s="217"/>
      <c r="AD106" s="224"/>
      <c r="AE106" s="489"/>
    </row>
    <row r="107" spans="3:31" ht="16.2" customHeight="1">
      <c r="C107" s="489"/>
      <c r="D107" s="489"/>
      <c r="E107" s="217"/>
      <c r="F107" s="224"/>
      <c r="G107" s="224"/>
      <c r="H107" s="224"/>
      <c r="I107" s="489"/>
      <c r="J107" s="489"/>
      <c r="K107" s="217"/>
      <c r="L107" s="224"/>
      <c r="M107" s="224"/>
      <c r="N107" s="224"/>
      <c r="O107" s="489"/>
      <c r="P107" s="489"/>
      <c r="Q107" s="217"/>
      <c r="R107" s="224"/>
      <c r="S107" s="224"/>
      <c r="T107" s="224"/>
      <c r="U107" s="489"/>
      <c r="V107" s="489"/>
      <c r="W107" s="217"/>
      <c r="X107" s="224"/>
      <c r="Y107" s="224"/>
      <c r="Z107" s="224"/>
      <c r="AA107" s="489"/>
      <c r="AB107" s="489"/>
      <c r="AC107" s="217"/>
      <c r="AD107" s="224"/>
      <c r="AE107" s="489"/>
    </row>
    <row r="108" spans="3:31" ht="16.2" customHeight="1">
      <c r="C108" s="489"/>
      <c r="D108" s="489"/>
      <c r="E108" s="217"/>
      <c r="F108" s="224"/>
      <c r="G108" s="224"/>
      <c r="H108" s="224"/>
      <c r="I108" s="489"/>
      <c r="J108" s="489"/>
      <c r="K108" s="217"/>
      <c r="L108" s="224"/>
      <c r="M108" s="224"/>
      <c r="N108" s="224"/>
      <c r="O108" s="489"/>
      <c r="P108" s="489"/>
      <c r="Q108" s="217"/>
      <c r="R108" s="224"/>
      <c r="S108" s="224"/>
      <c r="T108" s="224"/>
      <c r="U108" s="489"/>
      <c r="V108" s="489"/>
      <c r="W108" s="217"/>
      <c r="X108" s="224"/>
      <c r="Y108" s="224"/>
      <c r="Z108" s="224"/>
      <c r="AA108" s="489"/>
      <c r="AB108" s="489"/>
      <c r="AC108" s="217"/>
      <c r="AD108" s="224"/>
      <c r="AE108" s="489"/>
    </row>
    <row r="109" spans="3:31" ht="16.2" customHeight="1">
      <c r="C109" s="489"/>
      <c r="D109" s="489"/>
      <c r="E109" s="217"/>
      <c r="F109" s="224"/>
      <c r="G109" s="224"/>
      <c r="H109" s="224"/>
      <c r="I109" s="489"/>
      <c r="J109" s="489"/>
      <c r="K109" s="217"/>
      <c r="L109" s="224"/>
      <c r="M109" s="224"/>
      <c r="N109" s="224"/>
      <c r="O109" s="489"/>
      <c r="P109" s="489"/>
      <c r="Q109" s="217"/>
      <c r="R109" s="224"/>
      <c r="S109" s="224"/>
      <c r="T109" s="224"/>
      <c r="U109" s="489"/>
      <c r="V109" s="489"/>
      <c r="W109" s="217"/>
      <c r="X109" s="224"/>
      <c r="Y109" s="224"/>
      <c r="Z109" s="224"/>
      <c r="AA109" s="489"/>
      <c r="AB109" s="489"/>
      <c r="AC109" s="217"/>
      <c r="AD109" s="224"/>
      <c r="AE109" s="489"/>
    </row>
    <row r="110" spans="3:31" ht="16.2" customHeight="1">
      <c r="C110" s="489"/>
      <c r="D110" s="489"/>
      <c r="E110" s="217"/>
      <c r="F110" s="224"/>
      <c r="G110" s="224"/>
      <c r="H110" s="224"/>
      <c r="I110" s="489"/>
      <c r="J110" s="489"/>
      <c r="K110" s="217"/>
      <c r="L110" s="224"/>
      <c r="M110" s="224"/>
      <c r="N110" s="224"/>
      <c r="O110" s="489"/>
      <c r="P110" s="489"/>
      <c r="Q110" s="217"/>
      <c r="R110" s="224"/>
      <c r="S110" s="224"/>
      <c r="T110" s="224"/>
      <c r="U110" s="489"/>
      <c r="V110" s="489"/>
      <c r="W110" s="217"/>
      <c r="X110" s="224"/>
      <c r="Y110" s="224"/>
      <c r="Z110" s="224"/>
      <c r="AA110" s="489"/>
      <c r="AB110" s="489"/>
      <c r="AC110" s="217"/>
      <c r="AD110" s="224"/>
      <c r="AE110" s="489"/>
    </row>
    <row r="111" spans="3:31" ht="16.2" customHeight="1">
      <c r="C111" s="489"/>
      <c r="D111" s="489"/>
      <c r="E111" s="217"/>
      <c r="F111" s="224"/>
      <c r="G111" s="224"/>
      <c r="H111" s="224"/>
      <c r="I111" s="489"/>
      <c r="J111" s="489"/>
      <c r="K111" s="217"/>
      <c r="L111" s="224"/>
      <c r="M111" s="224"/>
      <c r="N111" s="224"/>
      <c r="O111" s="489"/>
      <c r="P111" s="489"/>
      <c r="Q111" s="217"/>
      <c r="R111" s="224"/>
      <c r="S111" s="224"/>
      <c r="T111" s="224"/>
      <c r="U111" s="489"/>
      <c r="V111" s="489"/>
      <c r="W111" s="217"/>
      <c r="X111" s="224"/>
      <c r="Y111" s="224"/>
      <c r="Z111" s="224"/>
      <c r="AA111" s="489"/>
      <c r="AB111" s="489"/>
      <c r="AC111" s="217"/>
      <c r="AD111" s="224"/>
      <c r="AE111" s="489"/>
    </row>
    <row r="112" spans="3:31" ht="16.2" customHeight="1">
      <c r="C112" s="489"/>
      <c r="D112" s="489"/>
      <c r="E112" s="217"/>
      <c r="F112" s="224"/>
      <c r="G112" s="224"/>
      <c r="H112" s="224"/>
      <c r="I112" s="489"/>
      <c r="J112" s="489"/>
      <c r="K112" s="217"/>
      <c r="L112" s="224"/>
      <c r="M112" s="224"/>
      <c r="N112" s="224"/>
      <c r="O112" s="489"/>
      <c r="P112" s="489"/>
      <c r="Q112" s="217"/>
      <c r="R112" s="224"/>
      <c r="S112" s="224"/>
      <c r="T112" s="224"/>
      <c r="U112" s="489"/>
      <c r="V112" s="489"/>
      <c r="W112" s="217"/>
      <c r="X112" s="224"/>
      <c r="Y112" s="224"/>
      <c r="Z112" s="224"/>
      <c r="AA112" s="489"/>
      <c r="AB112" s="489"/>
      <c r="AC112" s="217"/>
      <c r="AD112" s="224"/>
      <c r="AE112" s="489"/>
    </row>
    <row r="113" spans="3:31" ht="16.2" customHeight="1">
      <c r="C113" s="489"/>
      <c r="D113" s="489"/>
      <c r="E113" s="217"/>
      <c r="F113" s="224"/>
      <c r="G113" s="224"/>
      <c r="H113" s="224"/>
      <c r="I113" s="489"/>
      <c r="J113" s="489"/>
      <c r="K113" s="217"/>
      <c r="L113" s="224"/>
      <c r="M113" s="224"/>
      <c r="N113" s="224"/>
      <c r="O113" s="489"/>
      <c r="P113" s="489"/>
      <c r="Q113" s="217"/>
      <c r="R113" s="224"/>
      <c r="S113" s="224"/>
      <c r="T113" s="224"/>
      <c r="U113" s="489"/>
      <c r="V113" s="489"/>
      <c r="W113" s="217"/>
      <c r="X113" s="224"/>
      <c r="Y113" s="224"/>
      <c r="Z113" s="224"/>
      <c r="AA113" s="489"/>
      <c r="AB113" s="489"/>
      <c r="AC113" s="217"/>
      <c r="AD113" s="224"/>
      <c r="AE113" s="489"/>
    </row>
    <row r="114" spans="3:31" ht="16.2" customHeight="1">
      <c r="C114" s="489"/>
      <c r="D114" s="489"/>
      <c r="E114" s="217"/>
      <c r="F114" s="224"/>
      <c r="G114" s="224"/>
      <c r="H114" s="224"/>
      <c r="I114" s="489"/>
      <c r="J114" s="489"/>
      <c r="K114" s="217"/>
      <c r="L114" s="224"/>
      <c r="M114" s="224"/>
      <c r="N114" s="224"/>
      <c r="O114" s="489"/>
      <c r="P114" s="489"/>
      <c r="Q114" s="217"/>
      <c r="R114" s="224"/>
      <c r="S114" s="224"/>
      <c r="T114" s="224"/>
      <c r="U114" s="489"/>
      <c r="V114" s="489"/>
      <c r="W114" s="217"/>
      <c r="X114" s="224"/>
      <c r="Y114" s="224"/>
      <c r="Z114" s="224"/>
      <c r="AA114" s="489"/>
      <c r="AB114" s="489"/>
      <c r="AC114" s="217"/>
      <c r="AD114" s="224"/>
      <c r="AE114" s="489"/>
    </row>
    <row r="115" spans="3:31" ht="16.2" customHeight="1">
      <c r="C115" s="489"/>
      <c r="D115" s="489"/>
      <c r="E115" s="217"/>
      <c r="F115" s="224"/>
      <c r="G115" s="224"/>
      <c r="H115" s="224"/>
      <c r="I115" s="489"/>
      <c r="J115" s="489"/>
      <c r="K115" s="217"/>
      <c r="L115" s="224"/>
      <c r="M115" s="224"/>
      <c r="N115" s="224"/>
      <c r="O115" s="489"/>
      <c r="P115" s="489"/>
      <c r="Q115" s="217"/>
      <c r="R115" s="224"/>
      <c r="S115" s="224"/>
      <c r="T115" s="224"/>
      <c r="U115" s="489"/>
      <c r="V115" s="489"/>
      <c r="W115" s="217"/>
      <c r="X115" s="224"/>
      <c r="Y115" s="224"/>
      <c r="Z115" s="224"/>
      <c r="AA115" s="489"/>
      <c r="AB115" s="489"/>
      <c r="AC115" s="217"/>
      <c r="AD115" s="224"/>
      <c r="AE115" s="489"/>
    </row>
    <row r="116" spans="3:31" ht="16.2" customHeight="1">
      <c r="C116" s="489"/>
      <c r="D116" s="489"/>
      <c r="E116" s="217"/>
      <c r="F116" s="224"/>
      <c r="G116" s="224"/>
      <c r="H116" s="224"/>
      <c r="I116" s="489"/>
      <c r="J116" s="489"/>
      <c r="K116" s="217"/>
      <c r="L116" s="224"/>
      <c r="M116" s="224"/>
      <c r="N116" s="224"/>
      <c r="O116" s="489"/>
      <c r="P116" s="489"/>
      <c r="Q116" s="217"/>
      <c r="R116" s="224"/>
      <c r="S116" s="224"/>
      <c r="T116" s="224"/>
      <c r="U116" s="489"/>
      <c r="V116" s="489"/>
      <c r="W116" s="217"/>
      <c r="X116" s="224"/>
      <c r="Y116" s="224"/>
      <c r="Z116" s="224"/>
      <c r="AA116" s="489"/>
      <c r="AB116" s="489"/>
      <c r="AC116" s="217"/>
      <c r="AD116" s="224"/>
      <c r="AE116" s="489"/>
    </row>
    <row r="117" spans="3:31" ht="16.2" customHeight="1">
      <c r="C117" s="489"/>
      <c r="D117" s="489"/>
      <c r="E117" s="217"/>
      <c r="F117" s="224"/>
      <c r="G117" s="224"/>
      <c r="H117" s="224"/>
      <c r="I117" s="489"/>
      <c r="J117" s="489"/>
      <c r="K117" s="217"/>
      <c r="L117" s="224"/>
      <c r="M117" s="224"/>
      <c r="N117" s="224"/>
      <c r="O117" s="489"/>
      <c r="P117" s="489"/>
      <c r="Q117" s="217"/>
      <c r="R117" s="224"/>
      <c r="S117" s="224"/>
      <c r="T117" s="224"/>
      <c r="U117" s="489"/>
      <c r="V117" s="489"/>
      <c r="W117" s="217"/>
      <c r="X117" s="224"/>
      <c r="Y117" s="224"/>
      <c r="Z117" s="224"/>
      <c r="AA117" s="489"/>
      <c r="AB117" s="489"/>
      <c r="AC117" s="217"/>
      <c r="AD117" s="224"/>
      <c r="AE117" s="489"/>
    </row>
    <row r="118" spans="3:31" ht="16.2" customHeight="1">
      <c r="C118" s="489"/>
      <c r="D118" s="489"/>
      <c r="E118" s="217"/>
      <c r="F118" s="224"/>
      <c r="G118" s="224"/>
      <c r="H118" s="224"/>
      <c r="I118" s="489"/>
      <c r="J118" s="489"/>
      <c r="K118" s="217"/>
      <c r="L118" s="224"/>
      <c r="M118" s="224"/>
      <c r="N118" s="224"/>
      <c r="O118" s="489"/>
      <c r="P118" s="489"/>
      <c r="Q118" s="217"/>
      <c r="R118" s="224"/>
      <c r="S118" s="224"/>
      <c r="T118" s="224"/>
      <c r="U118" s="489"/>
      <c r="V118" s="489"/>
      <c r="W118" s="217"/>
      <c r="X118" s="224"/>
      <c r="Y118" s="224"/>
      <c r="Z118" s="224"/>
      <c r="AA118" s="489"/>
      <c r="AB118" s="489"/>
      <c r="AC118" s="217"/>
      <c r="AD118" s="224"/>
      <c r="AE118" s="489"/>
    </row>
    <row r="119" spans="3:31" ht="16.2" customHeight="1">
      <c r="C119" s="489"/>
      <c r="D119" s="489"/>
      <c r="E119" s="217"/>
      <c r="F119" s="224"/>
      <c r="G119" s="224"/>
      <c r="H119" s="224"/>
      <c r="I119" s="489"/>
      <c r="J119" s="489"/>
      <c r="K119" s="217"/>
      <c r="L119" s="224"/>
      <c r="M119" s="224"/>
      <c r="N119" s="224"/>
      <c r="O119" s="489"/>
      <c r="P119" s="489"/>
      <c r="Q119" s="217"/>
      <c r="R119" s="224"/>
      <c r="S119" s="224"/>
      <c r="T119" s="224"/>
      <c r="U119" s="489"/>
      <c r="V119" s="489"/>
      <c r="W119" s="217"/>
      <c r="X119" s="224"/>
      <c r="Y119" s="224"/>
      <c r="Z119" s="224"/>
      <c r="AA119" s="489"/>
      <c r="AB119" s="489"/>
      <c r="AC119" s="217"/>
      <c r="AD119" s="224"/>
      <c r="AE119" s="489"/>
    </row>
    <row r="120" spans="3:31" ht="16.2" customHeight="1">
      <c r="C120" s="489"/>
      <c r="D120" s="489"/>
      <c r="E120" s="217"/>
      <c r="F120" s="224"/>
      <c r="G120" s="224"/>
      <c r="H120" s="224"/>
      <c r="I120" s="489"/>
      <c r="J120" s="489"/>
      <c r="K120" s="217"/>
      <c r="L120" s="224"/>
      <c r="M120" s="224"/>
      <c r="N120" s="224"/>
      <c r="O120" s="489"/>
      <c r="P120" s="489"/>
      <c r="Q120" s="217"/>
      <c r="R120" s="224"/>
      <c r="S120" s="224"/>
      <c r="T120" s="224"/>
      <c r="U120" s="489"/>
      <c r="V120" s="489"/>
      <c r="W120" s="217"/>
      <c r="X120" s="224"/>
      <c r="Y120" s="224"/>
      <c r="Z120" s="224"/>
      <c r="AA120" s="489"/>
      <c r="AB120" s="489"/>
      <c r="AC120" s="217"/>
      <c r="AD120" s="224"/>
      <c r="AE120" s="489"/>
    </row>
  </sheetData>
  <sheetProtection formatCells="0"/>
  <mergeCells count="14">
    <mergeCell ref="AA7:AE8"/>
    <mergeCell ref="C2:F3"/>
    <mergeCell ref="AA10:AD10"/>
    <mergeCell ref="D5:L6"/>
    <mergeCell ref="D7:L8"/>
    <mergeCell ref="C10:F10"/>
    <mergeCell ref="I10:L10"/>
    <mergeCell ref="O10:R10"/>
    <mergeCell ref="U10:X10"/>
    <mergeCell ref="W5:X5"/>
    <mergeCell ref="W7:X7"/>
    <mergeCell ref="P5:V6"/>
    <mergeCell ref="P7:Q8"/>
    <mergeCell ref="AA5:AC6"/>
  </mergeCells>
  <phoneticPr fontId="2"/>
  <conditionalFormatting sqref="F13 F24:F29">
    <cfRule type="cellIs" dxfId="35" priority="2" operator="greaterThan">
      <formula>D13</formula>
    </cfRule>
  </conditionalFormatting>
  <conditionalFormatting sqref="F14:F15 L13:L16 R13:R14 X13:X18 X24:X29 R24:R30 L24:L29">
    <cfRule type="cellIs" dxfId="34" priority="1" operator="greaterThan">
      <formula>D13</formula>
    </cfRule>
  </conditionalFormatting>
  <hyperlinks>
    <hyperlink ref="C2:F3" location="提案表紙!A1" display="大阪府折込資料表" xr:uid="{00000000-0004-0000-0D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&amp;L住之江区・平野区&amp;RP-10/34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B6D2F5"/>
    <pageSetUpPr fitToPage="1"/>
  </sheetPr>
  <dimension ref="A1:AE113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E4"/>
      <c r="F4"/>
      <c r="G4"/>
      <c r="H4"/>
      <c r="I4" s="187">
        <v>45717</v>
      </c>
      <c r="J4" s="186" t="s">
        <v>0</v>
      </c>
      <c r="K4" t="s">
        <v>759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760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761</v>
      </c>
      <c r="P7" s="827">
        <f>提案表紙!G9</f>
        <v>0</v>
      </c>
      <c r="Q7" s="828"/>
      <c r="R7" s="7" t="s">
        <v>676</v>
      </c>
      <c r="S7"/>
      <c r="T7"/>
      <c r="U7" s="410">
        <f>大阪市豊中市折込部数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688</v>
      </c>
      <c r="D11" s="504" t="s">
        <v>689</v>
      </c>
      <c r="E11" s="319" t="s">
        <v>690</v>
      </c>
      <c r="F11" s="726" t="s">
        <v>212</v>
      </c>
      <c r="G11" s="51"/>
      <c r="H11" s="51"/>
      <c r="I11" s="503" t="s">
        <v>688</v>
      </c>
      <c r="J11" s="504" t="s">
        <v>689</v>
      </c>
      <c r="K11" s="319" t="s">
        <v>690</v>
      </c>
      <c r="L11" s="726" t="s">
        <v>212</v>
      </c>
      <c r="M11" s="51"/>
      <c r="N11" s="51"/>
      <c r="O11" s="503" t="s">
        <v>688</v>
      </c>
      <c r="P11" s="504" t="s">
        <v>689</v>
      </c>
      <c r="Q11" s="319" t="s">
        <v>690</v>
      </c>
      <c r="R11" s="726" t="s">
        <v>212</v>
      </c>
      <c r="S11" s="51"/>
      <c r="T11" s="51"/>
      <c r="U11" s="503" t="s">
        <v>688</v>
      </c>
      <c r="V11" s="504" t="s">
        <v>689</v>
      </c>
      <c r="W11" s="319" t="s">
        <v>690</v>
      </c>
      <c r="X11" s="726" t="s">
        <v>212</v>
      </c>
      <c r="Y11" s="51"/>
      <c r="Z11" s="51"/>
      <c r="AA11" s="503" t="s">
        <v>688</v>
      </c>
      <c r="AB11" s="504" t="s">
        <v>689</v>
      </c>
      <c r="AC11" s="319" t="s">
        <v>690</v>
      </c>
      <c r="AD11" s="726" t="s">
        <v>212</v>
      </c>
      <c r="AE11" s="507" t="s">
        <v>691</v>
      </c>
    </row>
    <row r="12" spans="1:31" ht="16.2" customHeight="1">
      <c r="A12" s="51">
        <v>2</v>
      </c>
      <c r="B12" s="488" t="s">
        <v>1409</v>
      </c>
      <c r="C12" s="46" t="s">
        <v>911</v>
      </c>
      <c r="G12" s="51">
        <v>2</v>
      </c>
      <c r="H12" s="488" t="s">
        <v>1409</v>
      </c>
      <c r="M12" s="51">
        <v>2</v>
      </c>
      <c r="N12" s="488" t="s">
        <v>1409</v>
      </c>
      <c r="Q12" s="15"/>
      <c r="R12"/>
      <c r="S12" s="51">
        <v>2</v>
      </c>
      <c r="T12" s="488" t="s">
        <v>1409</v>
      </c>
      <c r="W12" s="15"/>
      <c r="X12"/>
      <c r="Y12" s="51">
        <v>2</v>
      </c>
      <c r="Z12" s="488" t="s">
        <v>1409</v>
      </c>
      <c r="AB12" s="15"/>
      <c r="AC12"/>
      <c r="AD12"/>
    </row>
    <row r="13" spans="1:31" ht="16.2" customHeight="1">
      <c r="A13" s="51">
        <v>3</v>
      </c>
      <c r="B13" s="51">
        <v>72123</v>
      </c>
      <c r="C13" s="441" t="s">
        <v>1242</v>
      </c>
      <c r="D13" s="148">
        <v>1800</v>
      </c>
      <c r="E13" s="155"/>
      <c r="F13" s="404"/>
      <c r="G13" s="51">
        <v>3</v>
      </c>
      <c r="H13" s="51">
        <v>73143</v>
      </c>
      <c r="I13" s="690" t="s">
        <v>1347</v>
      </c>
      <c r="J13" s="148">
        <v>2900</v>
      </c>
      <c r="K13" s="155"/>
      <c r="L13" s="404"/>
      <c r="M13" s="51">
        <v>3</v>
      </c>
      <c r="N13" s="51">
        <v>75147</v>
      </c>
      <c r="O13" s="441" t="s">
        <v>955</v>
      </c>
      <c r="P13" s="148">
        <v>850</v>
      </c>
      <c r="Q13" s="155"/>
      <c r="R13" s="404"/>
      <c r="S13" s="51">
        <v>3</v>
      </c>
      <c r="T13" s="51">
        <v>74167</v>
      </c>
      <c r="U13" s="441" t="s">
        <v>1488</v>
      </c>
      <c r="V13" s="148">
        <v>4050</v>
      </c>
      <c r="W13" s="155"/>
      <c r="X13" s="404"/>
      <c r="Y13" s="51">
        <v>3</v>
      </c>
      <c r="Z13" s="51"/>
      <c r="AA13" s="703"/>
      <c r="AB13" s="215"/>
      <c r="AC13" s="130"/>
      <c r="AD13" s="541"/>
      <c r="AE13" s="513"/>
    </row>
    <row r="14" spans="1:31" ht="16.2" customHeight="1">
      <c r="A14" s="51">
        <v>3</v>
      </c>
      <c r="B14" s="51">
        <v>72127</v>
      </c>
      <c r="C14" s="386" t="s">
        <v>1244</v>
      </c>
      <c r="D14" s="143">
        <v>2950</v>
      </c>
      <c r="E14" s="142"/>
      <c r="F14" s="405"/>
      <c r="G14" s="51">
        <v>3</v>
      </c>
      <c r="H14" s="51">
        <v>73147</v>
      </c>
      <c r="I14" s="386" t="s">
        <v>948</v>
      </c>
      <c r="J14" s="143">
        <v>5750</v>
      </c>
      <c r="K14" s="142"/>
      <c r="L14" s="405"/>
      <c r="M14" s="51">
        <v>3</v>
      </c>
      <c r="N14" s="51">
        <v>75149</v>
      </c>
      <c r="O14" s="386" t="s">
        <v>957</v>
      </c>
      <c r="P14" s="143">
        <v>500</v>
      </c>
      <c r="Q14" s="142"/>
      <c r="R14" s="405"/>
      <c r="S14" s="51">
        <v>3</v>
      </c>
      <c r="T14" s="51">
        <v>74169</v>
      </c>
      <c r="U14" s="386" t="s">
        <v>946</v>
      </c>
      <c r="V14" s="143">
        <v>2700</v>
      </c>
      <c r="W14" s="142"/>
      <c r="X14" s="405"/>
      <c r="Y14" s="51">
        <v>3</v>
      </c>
      <c r="Z14" s="51"/>
      <c r="AA14" s="512"/>
      <c r="AB14" s="139"/>
      <c r="AC14" s="131"/>
      <c r="AD14" s="550"/>
      <c r="AE14" s="516"/>
    </row>
    <row r="15" spans="1:31" ht="16.2" customHeight="1">
      <c r="A15" s="51">
        <v>3</v>
      </c>
      <c r="B15" s="51">
        <v>72129</v>
      </c>
      <c r="C15" s="386" t="s">
        <v>947</v>
      </c>
      <c r="D15" s="143">
        <v>1350</v>
      </c>
      <c r="E15" s="142"/>
      <c r="F15" s="405"/>
      <c r="G15" s="51">
        <v>3</v>
      </c>
      <c r="H15" s="51">
        <v>73149</v>
      </c>
      <c r="I15" s="386" t="s">
        <v>949</v>
      </c>
      <c r="J15" s="143">
        <v>2150</v>
      </c>
      <c r="K15" s="137"/>
      <c r="L15" s="405"/>
      <c r="M15" s="51">
        <v>3</v>
      </c>
      <c r="N15" s="51">
        <v>75151</v>
      </c>
      <c r="O15" s="386" t="s">
        <v>954</v>
      </c>
      <c r="P15" s="143">
        <v>800</v>
      </c>
      <c r="Q15" s="131"/>
      <c r="R15" s="405"/>
      <c r="S15" s="51">
        <v>3</v>
      </c>
      <c r="T15" s="51">
        <v>74171</v>
      </c>
      <c r="U15" s="386" t="s">
        <v>1073</v>
      </c>
      <c r="V15" s="143">
        <v>1750</v>
      </c>
      <c r="W15" s="142"/>
      <c r="X15" s="405"/>
      <c r="Y15" s="51">
        <v>3</v>
      </c>
      <c r="Z15" s="51"/>
      <c r="AA15" s="512"/>
      <c r="AB15" s="139"/>
      <c r="AC15" s="131"/>
      <c r="AD15" s="550"/>
      <c r="AE15" s="516"/>
    </row>
    <row r="16" spans="1:31" ht="16.2" customHeight="1">
      <c r="A16" s="51">
        <v>3</v>
      </c>
      <c r="B16" s="51">
        <v>72133</v>
      </c>
      <c r="C16" s="386" t="s">
        <v>948</v>
      </c>
      <c r="D16" s="143">
        <v>1000</v>
      </c>
      <c r="E16" s="142"/>
      <c r="F16" s="405"/>
      <c r="G16" s="51">
        <v>3</v>
      </c>
      <c r="H16" s="51">
        <v>73151</v>
      </c>
      <c r="I16" s="386" t="s">
        <v>1111</v>
      </c>
      <c r="J16" s="143">
        <v>1750</v>
      </c>
      <c r="K16" s="137"/>
      <c r="L16" s="405"/>
      <c r="M16" s="51">
        <v>3</v>
      </c>
      <c r="N16" s="51">
        <v>75153</v>
      </c>
      <c r="O16" s="386" t="s">
        <v>948</v>
      </c>
      <c r="P16" s="143">
        <v>1100</v>
      </c>
      <c r="Q16" s="131"/>
      <c r="R16" s="405"/>
      <c r="S16" s="51">
        <v>3</v>
      </c>
      <c r="T16" s="51">
        <v>74173</v>
      </c>
      <c r="U16" s="386" t="s">
        <v>956</v>
      </c>
      <c r="V16" s="143">
        <v>1550</v>
      </c>
      <c r="W16" s="142"/>
      <c r="X16" s="405"/>
      <c r="Y16" s="51">
        <v>3</v>
      </c>
      <c r="Z16" s="51"/>
      <c r="AA16" s="512"/>
      <c r="AB16" s="139"/>
      <c r="AC16" s="131"/>
      <c r="AD16" s="550"/>
      <c r="AE16" s="516"/>
    </row>
    <row r="17" spans="1:31" ht="16.2" customHeight="1">
      <c r="A17" s="51">
        <v>3</v>
      </c>
      <c r="B17" s="51">
        <v>72135</v>
      </c>
      <c r="C17" s="386" t="s">
        <v>949</v>
      </c>
      <c r="D17" s="143">
        <v>900</v>
      </c>
      <c r="E17" s="142"/>
      <c r="F17" s="405"/>
      <c r="G17" s="51">
        <v>3</v>
      </c>
      <c r="H17" s="51">
        <v>73157</v>
      </c>
      <c r="I17" s="386" t="s">
        <v>1274</v>
      </c>
      <c r="J17" s="143">
        <v>1550</v>
      </c>
      <c r="K17" s="137"/>
      <c r="L17" s="405"/>
      <c r="M17" s="51">
        <v>3</v>
      </c>
      <c r="N17" s="51">
        <v>75155</v>
      </c>
      <c r="O17" s="386" t="s">
        <v>958</v>
      </c>
      <c r="P17" s="143">
        <v>700</v>
      </c>
      <c r="Q17" s="131"/>
      <c r="R17" s="405"/>
      <c r="S17" s="51">
        <v>3</v>
      </c>
      <c r="T17" s="51">
        <v>74181</v>
      </c>
      <c r="U17" s="451" t="s">
        <v>1348</v>
      </c>
      <c r="V17" s="143">
        <v>3100</v>
      </c>
      <c r="W17" s="142"/>
      <c r="X17" s="405"/>
      <c r="Y17" s="51">
        <v>3</v>
      </c>
      <c r="Z17" s="51"/>
      <c r="AA17" s="512"/>
      <c r="AB17" s="139"/>
      <c r="AC17" s="131"/>
      <c r="AD17" s="550"/>
      <c r="AE17" s="516"/>
    </row>
    <row r="18" spans="1:31" ht="16.2" customHeight="1">
      <c r="A18" s="51">
        <v>3</v>
      </c>
      <c r="B18" s="51">
        <v>72136</v>
      </c>
      <c r="C18" s="386" t="s">
        <v>1542</v>
      </c>
      <c r="D18" s="149">
        <v>950</v>
      </c>
      <c r="E18" s="137"/>
      <c r="F18" s="405"/>
      <c r="G18" s="51">
        <v>3</v>
      </c>
      <c r="H18" s="51"/>
      <c r="I18" s="386"/>
      <c r="J18" s="143"/>
      <c r="K18" s="137"/>
      <c r="L18" s="405"/>
      <c r="M18" s="51">
        <v>3</v>
      </c>
      <c r="N18" s="51">
        <v>75157</v>
      </c>
      <c r="O18" s="386" t="s">
        <v>959</v>
      </c>
      <c r="P18" s="143">
        <v>500</v>
      </c>
      <c r="Q18" s="131"/>
      <c r="R18" s="405"/>
      <c r="S18" s="51">
        <v>3</v>
      </c>
      <c r="T18" s="51">
        <v>74185</v>
      </c>
      <c r="U18" s="386" t="s">
        <v>1352</v>
      </c>
      <c r="V18" s="143">
        <v>2750</v>
      </c>
      <c r="W18" s="142"/>
      <c r="X18" s="405"/>
      <c r="Y18" s="51">
        <v>3</v>
      </c>
      <c r="Z18" s="51"/>
      <c r="AA18" s="512"/>
      <c r="AB18" s="139"/>
      <c r="AC18" s="131"/>
      <c r="AD18" s="550"/>
      <c r="AE18" s="516"/>
    </row>
    <row r="19" spans="1:31" ht="16.2" customHeight="1">
      <c r="A19" s="51">
        <v>3</v>
      </c>
      <c r="B19" s="51">
        <v>72137</v>
      </c>
      <c r="C19" s="386" t="s">
        <v>950</v>
      </c>
      <c r="D19" s="143">
        <v>1000</v>
      </c>
      <c r="E19" s="142"/>
      <c r="F19" s="405"/>
      <c r="G19" s="51">
        <v>3</v>
      </c>
      <c r="H19" s="51"/>
      <c r="I19" s="439"/>
      <c r="J19" s="446"/>
      <c r="K19" s="137"/>
      <c r="L19" s="405"/>
      <c r="M19" s="51">
        <v>3</v>
      </c>
      <c r="N19" s="51">
        <v>75159</v>
      </c>
      <c r="O19" s="386" t="s">
        <v>960</v>
      </c>
      <c r="P19" s="143">
        <v>700</v>
      </c>
      <c r="Q19" s="131"/>
      <c r="R19" s="405"/>
      <c r="S19" s="51">
        <v>3</v>
      </c>
      <c r="T19" s="51">
        <v>74187</v>
      </c>
      <c r="U19" s="386" t="s">
        <v>950</v>
      </c>
      <c r="V19" s="143">
        <v>1750</v>
      </c>
      <c r="W19" s="142"/>
      <c r="X19" s="405"/>
      <c r="Y19" s="51">
        <v>3</v>
      </c>
      <c r="Z19" s="51"/>
      <c r="AA19" s="512"/>
      <c r="AB19" s="139"/>
      <c r="AC19" s="131"/>
      <c r="AD19" s="550"/>
      <c r="AE19" s="516"/>
    </row>
    <row r="20" spans="1:31" ht="16.2" customHeight="1">
      <c r="A20" s="51">
        <v>3</v>
      </c>
      <c r="B20" s="51">
        <v>72139</v>
      </c>
      <c r="C20" s="386" t="s">
        <v>951</v>
      </c>
      <c r="D20" s="143">
        <v>1300</v>
      </c>
      <c r="E20" s="142"/>
      <c r="F20" s="405"/>
      <c r="G20" s="51">
        <v>3</v>
      </c>
      <c r="H20" s="51"/>
      <c r="I20" s="386"/>
      <c r="J20" s="446"/>
      <c r="K20" s="137"/>
      <c r="L20" s="405"/>
      <c r="M20" s="51">
        <v>3</v>
      </c>
      <c r="N20" s="51">
        <v>75161</v>
      </c>
      <c r="O20" s="386" t="s">
        <v>733</v>
      </c>
      <c r="P20" s="143">
        <v>2350</v>
      </c>
      <c r="Q20" s="131"/>
      <c r="R20" s="405"/>
      <c r="S20" s="51">
        <v>3</v>
      </c>
      <c r="T20" s="51">
        <v>74189</v>
      </c>
      <c r="U20" s="386" t="s">
        <v>1532</v>
      </c>
      <c r="V20" s="143">
        <v>3700</v>
      </c>
      <c r="W20" s="142"/>
      <c r="X20" s="405"/>
      <c r="Y20" s="51">
        <v>3</v>
      </c>
      <c r="Z20" s="51"/>
      <c r="AA20" s="512"/>
      <c r="AB20" s="139"/>
      <c r="AC20" s="131"/>
      <c r="AD20" s="550"/>
      <c r="AE20" s="516"/>
    </row>
    <row r="21" spans="1:31" ht="16.2" customHeight="1">
      <c r="A21" s="51">
        <v>3</v>
      </c>
      <c r="B21" s="51">
        <v>72141</v>
      </c>
      <c r="C21" s="386" t="s">
        <v>732</v>
      </c>
      <c r="D21" s="143">
        <v>2700</v>
      </c>
      <c r="E21" s="142"/>
      <c r="F21" s="405"/>
      <c r="G21" s="51">
        <v>3</v>
      </c>
      <c r="H21" s="51"/>
      <c r="I21" s="386"/>
      <c r="J21" s="446"/>
      <c r="K21" s="137"/>
      <c r="L21" s="405"/>
      <c r="M21" s="51">
        <v>3</v>
      </c>
      <c r="N21" s="51"/>
      <c r="O21" s="512"/>
      <c r="P21" s="139"/>
      <c r="Q21" s="131"/>
      <c r="R21" s="132"/>
      <c r="S21" s="51">
        <v>3</v>
      </c>
      <c r="T21" s="51">
        <v>74191</v>
      </c>
      <c r="U21" s="386" t="s">
        <v>961</v>
      </c>
      <c r="V21" s="143">
        <v>2650</v>
      </c>
      <c r="W21" s="131"/>
      <c r="X21" s="405"/>
      <c r="Y21" s="51">
        <v>3</v>
      </c>
      <c r="Z21" s="51"/>
      <c r="AA21" s="512"/>
      <c r="AB21" s="139"/>
      <c r="AC21" s="131"/>
      <c r="AD21" s="550"/>
      <c r="AE21" s="516"/>
    </row>
    <row r="22" spans="1:31" ht="16.2" customHeight="1">
      <c r="A22" s="51">
        <v>3</v>
      </c>
      <c r="B22" s="51">
        <v>72143</v>
      </c>
      <c r="C22" s="386" t="s">
        <v>952</v>
      </c>
      <c r="D22" s="143">
        <v>1200</v>
      </c>
      <c r="E22" s="142"/>
      <c r="F22" s="405"/>
      <c r="G22" s="51">
        <v>3</v>
      </c>
      <c r="H22" s="51"/>
      <c r="I22" s="439"/>
      <c r="J22" s="143"/>
      <c r="K22" s="137"/>
      <c r="L22" s="405"/>
      <c r="M22" s="51">
        <v>3</v>
      </c>
      <c r="N22" s="51"/>
      <c r="O22" s="512"/>
      <c r="P22" s="139"/>
      <c r="Q22" s="131"/>
      <c r="R22" s="132"/>
      <c r="S22" s="51">
        <v>3</v>
      </c>
      <c r="T22" s="51"/>
      <c r="U22" s="386"/>
      <c r="V22" s="143"/>
      <c r="W22" s="131"/>
      <c r="X22" s="405"/>
      <c r="Y22" s="51">
        <v>3</v>
      </c>
      <c r="Z22" s="51"/>
      <c r="AA22" s="512"/>
      <c r="AB22" s="139"/>
      <c r="AC22" s="131"/>
      <c r="AD22" s="550"/>
      <c r="AE22" s="516"/>
    </row>
    <row r="23" spans="1:31" ht="16.2" customHeight="1">
      <c r="A23" s="51">
        <v>3</v>
      </c>
      <c r="B23" s="51">
        <v>72145</v>
      </c>
      <c r="C23" s="386" t="s">
        <v>953</v>
      </c>
      <c r="D23" s="143">
        <v>750</v>
      </c>
      <c r="E23" s="137"/>
      <c r="F23" s="405"/>
      <c r="G23" s="51">
        <v>3</v>
      </c>
      <c r="H23" s="51"/>
      <c r="I23" s="386"/>
      <c r="J23" s="143"/>
      <c r="K23" s="137"/>
      <c r="L23" s="405"/>
      <c r="M23" s="51">
        <v>3</v>
      </c>
      <c r="N23" s="51"/>
      <c r="O23" s="512"/>
      <c r="P23" s="139"/>
      <c r="Q23" s="131"/>
      <c r="R23" s="132"/>
      <c r="S23" s="51">
        <v>3</v>
      </c>
      <c r="T23" s="51"/>
      <c r="U23" s="386"/>
      <c r="V23" s="143"/>
      <c r="W23" s="131"/>
      <c r="X23" s="405"/>
      <c r="Y23" s="51">
        <v>3</v>
      </c>
      <c r="Z23" s="51"/>
      <c r="AA23" s="512"/>
      <c r="AB23" s="139"/>
      <c r="AC23" s="131"/>
      <c r="AD23" s="550"/>
      <c r="AE23" s="516"/>
    </row>
    <row r="24" spans="1:31" ht="16.2" customHeight="1">
      <c r="A24" s="51">
        <v>3</v>
      </c>
      <c r="B24" s="51">
        <v>72147</v>
      </c>
      <c r="C24" s="386" t="s">
        <v>956</v>
      </c>
      <c r="D24" s="143">
        <v>2150</v>
      </c>
      <c r="E24" s="137"/>
      <c r="F24" s="405"/>
      <c r="G24" s="51">
        <v>3</v>
      </c>
      <c r="H24" s="51"/>
      <c r="I24" s="386"/>
      <c r="J24" s="143"/>
      <c r="K24" s="137"/>
      <c r="L24" s="405"/>
      <c r="M24" s="51">
        <v>3</v>
      </c>
      <c r="N24" s="51"/>
      <c r="O24" s="512"/>
      <c r="P24" s="139"/>
      <c r="Q24" s="131"/>
      <c r="R24" s="132"/>
      <c r="S24" s="51">
        <v>3</v>
      </c>
      <c r="T24" s="51"/>
      <c r="U24" s="386"/>
      <c r="V24" s="143"/>
      <c r="W24" s="131"/>
      <c r="X24" s="405"/>
      <c r="Y24" s="51">
        <v>3</v>
      </c>
      <c r="Z24" s="51"/>
      <c r="AA24" s="512"/>
      <c r="AB24" s="139"/>
      <c r="AC24" s="131"/>
      <c r="AD24" s="550"/>
      <c r="AE24" s="516"/>
    </row>
    <row r="25" spans="1:31" ht="16.2" customHeight="1">
      <c r="A25" s="51">
        <v>3</v>
      </c>
      <c r="B25" s="51">
        <v>72149</v>
      </c>
      <c r="C25" s="386" t="s">
        <v>255</v>
      </c>
      <c r="D25" s="143">
        <v>2000</v>
      </c>
      <c r="E25" s="137"/>
      <c r="F25" s="405"/>
      <c r="G25" s="51">
        <v>3</v>
      </c>
      <c r="H25" s="51"/>
      <c r="I25" s="386"/>
      <c r="J25" s="143"/>
      <c r="K25" s="137"/>
      <c r="L25" s="405"/>
      <c r="M25" s="51">
        <v>3</v>
      </c>
      <c r="N25" s="51"/>
      <c r="O25" s="512"/>
      <c r="P25" s="139"/>
      <c r="Q25" s="131"/>
      <c r="R25" s="132"/>
      <c r="S25" s="51">
        <v>3</v>
      </c>
      <c r="T25" s="51"/>
      <c r="U25" s="386"/>
      <c r="V25" s="143"/>
      <c r="W25" s="131"/>
      <c r="X25" s="405"/>
      <c r="Y25" s="51">
        <v>3</v>
      </c>
      <c r="Z25" s="51"/>
      <c r="AA25" s="512"/>
      <c r="AB25" s="139"/>
      <c r="AC25" s="131"/>
      <c r="AD25" s="550"/>
      <c r="AE25" s="516"/>
    </row>
    <row r="26" spans="1:31" ht="16.2" customHeight="1">
      <c r="A26" s="51">
        <v>3</v>
      </c>
      <c r="B26" s="51"/>
      <c r="C26" s="386"/>
      <c r="D26" s="143"/>
      <c r="E26" s="137"/>
      <c r="F26" s="405"/>
      <c r="G26" s="51">
        <v>3</v>
      </c>
      <c r="H26" s="51"/>
      <c r="I26" s="386"/>
      <c r="J26" s="143"/>
      <c r="K26" s="137"/>
      <c r="L26" s="132"/>
      <c r="M26" s="51">
        <v>3</v>
      </c>
      <c r="N26" s="51"/>
      <c r="O26" s="512"/>
      <c r="P26" s="139"/>
      <c r="Q26" s="131"/>
      <c r="R26" s="132"/>
      <c r="S26" s="51">
        <v>3</v>
      </c>
      <c r="T26" s="51"/>
      <c r="U26" s="386"/>
      <c r="V26" s="143"/>
      <c r="W26" s="131"/>
      <c r="X26" s="405"/>
      <c r="Y26" s="51">
        <v>3</v>
      </c>
      <c r="Z26" s="51"/>
      <c r="AA26" s="512"/>
      <c r="AB26" s="139"/>
      <c r="AC26" s="131"/>
      <c r="AD26" s="550"/>
      <c r="AE26" s="516"/>
    </row>
    <row r="27" spans="1:31" ht="16.2" customHeight="1">
      <c r="A27" s="51">
        <v>3</v>
      </c>
      <c r="B27" s="51"/>
      <c r="C27" s="386"/>
      <c r="D27" s="143"/>
      <c r="E27" s="137"/>
      <c r="F27" s="405"/>
      <c r="G27" s="51">
        <v>3</v>
      </c>
      <c r="H27" s="51"/>
      <c r="I27" s="512"/>
      <c r="J27" s="139"/>
      <c r="K27" s="137"/>
      <c r="L27" s="132"/>
      <c r="M27" s="51">
        <v>3</v>
      </c>
      <c r="N27" s="51"/>
      <c r="O27" s="512"/>
      <c r="P27" s="139"/>
      <c r="Q27" s="131"/>
      <c r="R27" s="132"/>
      <c r="S27" s="51">
        <v>3</v>
      </c>
      <c r="T27" s="51"/>
      <c r="U27" s="386"/>
      <c r="V27" s="143"/>
      <c r="W27" s="131"/>
      <c r="X27" s="405"/>
      <c r="Y27" s="51">
        <v>3</v>
      </c>
      <c r="Z27" s="51"/>
      <c r="AA27" s="512"/>
      <c r="AB27" s="139"/>
      <c r="AC27" s="131"/>
      <c r="AD27" s="550"/>
      <c r="AE27" s="516"/>
    </row>
    <row r="28" spans="1:31" ht="16.2" customHeight="1">
      <c r="A28" s="51">
        <v>3</v>
      </c>
      <c r="B28" s="51"/>
      <c r="C28" s="386"/>
      <c r="D28" s="143"/>
      <c r="E28" s="137"/>
      <c r="F28" s="405"/>
      <c r="G28" s="51">
        <v>3</v>
      </c>
      <c r="H28" s="51"/>
      <c r="I28" s="512"/>
      <c r="J28" s="139"/>
      <c r="K28" s="137"/>
      <c r="L28" s="132"/>
      <c r="M28" s="51">
        <v>3</v>
      </c>
      <c r="N28" s="51"/>
      <c r="O28" s="512"/>
      <c r="P28" s="139"/>
      <c r="Q28" s="131"/>
      <c r="R28" s="132"/>
      <c r="S28" s="51">
        <v>3</v>
      </c>
      <c r="T28" s="51"/>
      <c r="U28" s="386"/>
      <c r="V28" s="143"/>
      <c r="W28" s="131"/>
      <c r="X28" s="405"/>
      <c r="Y28" s="51">
        <v>3</v>
      </c>
      <c r="Z28" s="51"/>
      <c r="AA28" s="512"/>
      <c r="AB28" s="139"/>
      <c r="AC28" s="131"/>
      <c r="AD28" s="550"/>
      <c r="AE28" s="516"/>
    </row>
    <row r="29" spans="1:31" ht="16.2" customHeight="1">
      <c r="A29" s="51">
        <v>3</v>
      </c>
      <c r="B29" s="51"/>
      <c r="C29" s="698"/>
      <c r="D29" s="353"/>
      <c r="E29" s="137"/>
      <c r="F29" s="405"/>
      <c r="G29" s="51">
        <v>3</v>
      </c>
      <c r="H29" s="51"/>
      <c r="I29" s="512"/>
      <c r="J29" s="139"/>
      <c r="K29" s="137"/>
      <c r="L29" s="132"/>
      <c r="M29" s="51">
        <v>3</v>
      </c>
      <c r="N29" s="51"/>
      <c r="O29" s="512"/>
      <c r="P29" s="139"/>
      <c r="Q29" s="131"/>
      <c r="R29" s="132"/>
      <c r="S29" s="51">
        <v>3</v>
      </c>
      <c r="T29" s="51"/>
      <c r="U29" s="386"/>
      <c r="V29" s="143"/>
      <c r="W29" s="131"/>
      <c r="X29" s="405"/>
      <c r="Y29" s="51">
        <v>3</v>
      </c>
      <c r="Z29" s="51"/>
      <c r="AA29" s="512"/>
      <c r="AB29" s="139"/>
      <c r="AC29" s="131"/>
      <c r="AD29" s="550"/>
      <c r="AE29" s="516"/>
    </row>
    <row r="30" spans="1:31" ht="16.2" customHeight="1">
      <c r="A30" s="51">
        <v>3</v>
      </c>
      <c r="B30" s="51"/>
      <c r="C30" s="386"/>
      <c r="D30" s="143"/>
      <c r="E30" s="137"/>
      <c r="F30" s="405"/>
      <c r="G30" s="51">
        <v>3</v>
      </c>
      <c r="H30" s="51"/>
      <c r="I30" s="512"/>
      <c r="J30" s="139"/>
      <c r="K30" s="137"/>
      <c r="L30" s="132"/>
      <c r="M30" s="51">
        <v>3</v>
      </c>
      <c r="N30" s="51"/>
      <c r="O30" s="512"/>
      <c r="P30" s="139"/>
      <c r="Q30" s="131"/>
      <c r="R30" s="132"/>
      <c r="S30" s="51">
        <v>3</v>
      </c>
      <c r="T30" s="51"/>
      <c r="U30" s="512"/>
      <c r="V30" s="139"/>
      <c r="W30" s="131"/>
      <c r="X30" s="132"/>
      <c r="Y30" s="51">
        <v>3</v>
      </c>
      <c r="Z30" s="51"/>
      <c r="AA30" s="512"/>
      <c r="AB30" s="139"/>
      <c r="AC30" s="131"/>
      <c r="AD30" s="550"/>
      <c r="AE30" s="516"/>
    </row>
    <row r="31" spans="1:31" ht="16.2" customHeight="1">
      <c r="A31" s="51">
        <v>3</v>
      </c>
      <c r="B31" s="51"/>
      <c r="C31" s="698"/>
      <c r="D31" s="353"/>
      <c r="E31" s="137"/>
      <c r="F31" s="405"/>
      <c r="G31" s="51">
        <v>3</v>
      </c>
      <c r="H31" s="51"/>
      <c r="I31" s="512"/>
      <c r="J31" s="139"/>
      <c r="K31" s="137"/>
      <c r="L31" s="132"/>
      <c r="M31" s="51">
        <v>3</v>
      </c>
      <c r="N31" s="51"/>
      <c r="O31" s="512"/>
      <c r="P31" s="139"/>
      <c r="Q31" s="131"/>
      <c r="R31" s="132"/>
      <c r="S31" s="51">
        <v>3</v>
      </c>
      <c r="T31" s="51"/>
      <c r="U31" s="512"/>
      <c r="V31" s="139"/>
      <c r="W31" s="131"/>
      <c r="X31" s="132"/>
      <c r="Y31" s="51">
        <v>3</v>
      </c>
      <c r="Z31" s="51"/>
      <c r="AA31" s="512"/>
      <c r="AB31" s="139"/>
      <c r="AC31" s="131"/>
      <c r="AD31" s="550"/>
      <c r="AE31" s="516"/>
    </row>
    <row r="32" spans="1:31" ht="16.2" customHeight="1" thickBot="1">
      <c r="A32" s="51">
        <v>3</v>
      </c>
      <c r="B32" s="51"/>
      <c r="C32" s="520"/>
      <c r="D32" s="208"/>
      <c r="E32" s="138"/>
      <c r="F32" s="133"/>
      <c r="G32" s="51">
        <v>3</v>
      </c>
      <c r="H32" s="51"/>
      <c r="I32" s="692"/>
      <c r="J32" s="208"/>
      <c r="K32" s="138"/>
      <c r="L32" s="133"/>
      <c r="M32" s="51">
        <v>3</v>
      </c>
      <c r="N32" s="51"/>
      <c r="O32" s="520"/>
      <c r="P32" s="208"/>
      <c r="Q32" s="135"/>
      <c r="R32" s="133"/>
      <c r="S32" s="51">
        <v>3</v>
      </c>
      <c r="T32" s="51"/>
      <c r="U32" s="520"/>
      <c r="V32" s="208"/>
      <c r="W32" s="135"/>
      <c r="X32" s="133"/>
      <c r="Y32" s="51">
        <v>3</v>
      </c>
      <c r="Z32" s="51"/>
      <c r="AA32" s="520"/>
      <c r="AB32" s="208"/>
      <c r="AC32" s="135"/>
      <c r="AD32" s="562"/>
      <c r="AE32" s="516"/>
    </row>
    <row r="33" spans="1:31" ht="16.2" customHeight="1" thickTop="1">
      <c r="A33" s="51">
        <v>4</v>
      </c>
      <c r="B33" s="51"/>
      <c r="C33" s="523" t="s">
        <v>692</v>
      </c>
      <c r="D33" s="27">
        <f>SUM(D13:D32)</f>
        <v>20050</v>
      </c>
      <c r="E33" s="28"/>
      <c r="F33" s="75">
        <f>SUM(F13:F32)</f>
        <v>0</v>
      </c>
      <c r="G33" s="51">
        <v>4</v>
      </c>
      <c r="H33" s="51"/>
      <c r="I33" s="523" t="s">
        <v>692</v>
      </c>
      <c r="J33" s="27">
        <f>SUM(J13:J32)</f>
        <v>14100</v>
      </c>
      <c r="K33" s="28"/>
      <c r="L33" s="75">
        <f>SUM(L13:L32)</f>
        <v>0</v>
      </c>
      <c r="M33" s="51">
        <v>4</v>
      </c>
      <c r="N33" s="51"/>
      <c r="O33" s="523" t="s">
        <v>692</v>
      </c>
      <c r="P33" s="27">
        <f>SUM(P13:P32)</f>
        <v>7500</v>
      </c>
      <c r="Q33" s="25"/>
      <c r="R33" s="75">
        <f>SUM(R13:R32)</f>
        <v>0</v>
      </c>
      <c r="S33" s="51">
        <v>4</v>
      </c>
      <c r="T33" s="51"/>
      <c r="U33" s="523" t="s">
        <v>692</v>
      </c>
      <c r="V33" s="27">
        <f>SUM(V13:V32)</f>
        <v>24000</v>
      </c>
      <c r="W33" s="25"/>
      <c r="X33" s="75">
        <f>SUM(X13:X32)</f>
        <v>0</v>
      </c>
      <c r="Y33" s="51">
        <v>4</v>
      </c>
      <c r="Z33" s="51"/>
      <c r="AA33" s="523" t="s">
        <v>692</v>
      </c>
      <c r="AB33" s="27">
        <f>SUM(AB13:AB32)</f>
        <v>0</v>
      </c>
      <c r="AC33" s="25"/>
      <c r="AD33" s="689">
        <f>SUM(AD13:AD32)</f>
        <v>0</v>
      </c>
      <c r="AE33" s="524">
        <f>D33+J33+P33+V33+AB33</f>
        <v>65650</v>
      </c>
    </row>
    <row r="34" spans="1:31" ht="16.2" customHeight="1">
      <c r="A34" s="51">
        <v>9</v>
      </c>
      <c r="B34" s="51"/>
      <c r="C34" s="459"/>
      <c r="D34" s="128"/>
      <c r="E34" s="128"/>
      <c r="F34" s="128"/>
      <c r="G34" s="51">
        <v>9</v>
      </c>
      <c r="H34" s="51"/>
      <c r="I34" s="128"/>
      <c r="J34" s="128"/>
      <c r="K34" s="13"/>
      <c r="L34" s="526"/>
      <c r="M34" s="51">
        <v>9</v>
      </c>
      <c r="N34" s="51"/>
      <c r="O34" s="526"/>
      <c r="P34" s="526"/>
      <c r="Q34" s="526"/>
      <c r="R34" s="526"/>
      <c r="S34" s="51">
        <v>9</v>
      </c>
      <c r="T34" s="51"/>
      <c r="U34" s="526"/>
      <c r="V34" s="213"/>
      <c r="W34" s="224"/>
      <c r="X34" s="224"/>
      <c r="Y34" s="51">
        <v>9</v>
      </c>
      <c r="Z34" s="51"/>
      <c r="AA34" s="537"/>
      <c r="AB34" s="213"/>
      <c r="AD34" s="527" t="s">
        <v>692</v>
      </c>
      <c r="AE34" s="93">
        <f>A大阪市豊中市折込部数+M大阪市豊中市折込部数+S大阪市豊中市折込部数+Y大阪市豊中市折込部数+AD33</f>
        <v>0</v>
      </c>
    </row>
    <row r="35" spans="1:31" ht="16.2" customHeight="1">
      <c r="C35" s="537"/>
      <c r="D35" s="213"/>
      <c r="E35" s="217"/>
      <c r="F35" s="224"/>
      <c r="G35" s="224"/>
      <c r="H35" s="224"/>
      <c r="I35" s="537"/>
      <c r="J35" s="213"/>
      <c r="K35" s="217"/>
      <c r="L35" s="224"/>
      <c r="M35" s="224"/>
      <c r="N35" s="224"/>
      <c r="O35" s="537"/>
      <c r="P35" s="213"/>
      <c r="Q35" s="224"/>
      <c r="R35" s="224"/>
      <c r="S35" s="224"/>
      <c r="T35" s="224"/>
      <c r="U35" s="537"/>
      <c r="V35" s="213"/>
      <c r="W35" s="224"/>
      <c r="X35" s="224"/>
      <c r="Y35" s="224"/>
      <c r="Z35" s="224"/>
      <c r="AA35" s="537"/>
      <c r="AB35" s="213"/>
      <c r="AC35" s="224"/>
      <c r="AD35" s="224"/>
      <c r="AE35" s="526"/>
    </row>
    <row r="36" spans="1:31" ht="16.2" customHeight="1">
      <c r="C36" s="537"/>
      <c r="D36" s="213"/>
      <c r="E36" s="217"/>
      <c r="F36" s="224"/>
      <c r="G36" s="224"/>
      <c r="H36" s="224"/>
      <c r="I36" s="537"/>
      <c r="J36" s="213"/>
      <c r="K36" s="217"/>
      <c r="L36" s="224"/>
      <c r="M36" s="224"/>
      <c r="N36" s="224"/>
      <c r="O36" s="537"/>
      <c r="P36" s="213"/>
      <c r="Q36" s="224"/>
      <c r="R36" s="224"/>
      <c r="S36" s="224"/>
      <c r="T36" s="224"/>
      <c r="U36" s="537"/>
      <c r="V36" s="213"/>
      <c r="W36" s="224"/>
      <c r="X36" s="224"/>
      <c r="Y36" s="224"/>
      <c r="Z36" s="224"/>
      <c r="AA36" s="537"/>
      <c r="AB36" s="213"/>
      <c r="AC36" s="224"/>
      <c r="AD36" s="224"/>
      <c r="AE36" s="489"/>
    </row>
    <row r="37" spans="1:31" ht="16.2" customHeight="1">
      <c r="C37" s="537"/>
      <c r="D37" s="213"/>
      <c r="E37" s="217"/>
      <c r="F37" s="224"/>
      <c r="G37" s="224"/>
      <c r="H37" s="224"/>
      <c r="I37" s="537"/>
      <c r="J37" s="213"/>
      <c r="K37" s="217"/>
      <c r="L37" s="224"/>
      <c r="M37" s="224"/>
      <c r="N37" s="224"/>
      <c r="O37" s="537"/>
      <c r="P37" s="213"/>
      <c r="Q37" s="224"/>
      <c r="R37" s="224"/>
      <c r="S37" s="224"/>
      <c r="T37" s="224"/>
      <c r="U37" s="537"/>
      <c r="V37" s="213"/>
      <c r="W37" s="224"/>
      <c r="X37" s="224"/>
      <c r="Y37" s="224"/>
      <c r="Z37" s="224"/>
      <c r="AA37" s="537"/>
      <c r="AB37" s="213"/>
      <c r="AC37" s="224"/>
      <c r="AD37" s="224"/>
      <c r="AE37" s="489"/>
    </row>
    <row r="38" spans="1:31" ht="16.2" customHeight="1">
      <c r="C38" s="537"/>
      <c r="D38" s="213"/>
      <c r="E38" s="217"/>
      <c r="F38" s="224"/>
      <c r="G38" s="224"/>
      <c r="H38" s="224"/>
      <c r="I38" s="537"/>
      <c r="J38" s="213"/>
      <c r="K38" s="217"/>
      <c r="L38" s="224"/>
      <c r="M38" s="224"/>
      <c r="N38" s="224"/>
      <c r="O38" s="537"/>
      <c r="P38" s="213"/>
      <c r="Q38" s="224"/>
      <c r="R38" s="224"/>
      <c r="S38" s="224"/>
      <c r="T38" s="224"/>
      <c r="U38" s="537"/>
      <c r="V38" s="213"/>
      <c r="W38" s="224"/>
      <c r="X38" s="224"/>
      <c r="Y38" s="224"/>
      <c r="Z38" s="224"/>
      <c r="AA38" s="537"/>
      <c r="AB38" s="213"/>
      <c r="AC38" s="224"/>
      <c r="AD38" s="224"/>
      <c r="AE38" s="489"/>
    </row>
    <row r="39" spans="1:31" ht="16.2" customHeight="1">
      <c r="C39" s="537"/>
      <c r="D39" s="213"/>
      <c r="E39" s="217"/>
      <c r="F39" s="224"/>
      <c r="G39" s="224"/>
      <c r="H39" s="224"/>
      <c r="I39" s="537"/>
      <c r="J39" s="213"/>
      <c r="K39" s="217"/>
      <c r="L39" s="224"/>
      <c r="M39" s="224"/>
      <c r="N39" s="224"/>
      <c r="O39" s="537"/>
      <c r="P39" s="213"/>
      <c r="Q39" s="224"/>
      <c r="R39" s="224"/>
      <c r="S39" s="224"/>
      <c r="T39" s="224"/>
      <c r="U39" s="537"/>
      <c r="V39" s="213"/>
      <c r="W39" s="224"/>
      <c r="X39" s="224"/>
      <c r="Y39" s="224"/>
      <c r="Z39" s="224"/>
      <c r="AA39" s="537"/>
      <c r="AB39" s="213"/>
      <c r="AC39" s="224"/>
      <c r="AD39" s="224"/>
      <c r="AE39" s="489"/>
    </row>
    <row r="40" spans="1:31" ht="16.2" customHeight="1">
      <c r="C40" s="18"/>
      <c r="D40" s="20"/>
      <c r="I40" s="18"/>
      <c r="J40" s="20"/>
      <c r="O40" s="18"/>
      <c r="P40" s="20"/>
      <c r="U40" s="18"/>
      <c r="V40" s="21"/>
      <c r="AA40" s="18"/>
      <c r="AB40" s="21"/>
      <c r="AE40" s="20">
        <f>SUM(D40:AD40)</f>
        <v>0</v>
      </c>
    </row>
    <row r="41" spans="1:31" ht="16.2" customHeight="1">
      <c r="C41" s="489"/>
      <c r="D41" s="489"/>
      <c r="E41" s="217"/>
      <c r="F41" s="224"/>
      <c r="G41" s="224"/>
      <c r="H41" s="224"/>
      <c r="I41" s="489"/>
      <c r="J41" s="489"/>
      <c r="K41" s="217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18"/>
      <c r="AE41" s="489"/>
    </row>
    <row r="42" spans="1:31" ht="16.2" customHeight="1">
      <c r="C42" s="489"/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489"/>
      <c r="E66" s="217"/>
      <c r="F66" s="224"/>
      <c r="G66" s="224"/>
      <c r="H66" s="224"/>
      <c r="I66" s="489"/>
      <c r="J66" s="489"/>
      <c r="K66" s="217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489"/>
      <c r="E67" s="217"/>
      <c r="F67" s="224"/>
      <c r="G67" s="224"/>
      <c r="H67" s="224"/>
      <c r="I67" s="489"/>
      <c r="J67" s="489"/>
      <c r="K67" s="217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489"/>
      <c r="E68" s="217"/>
      <c r="F68" s="224"/>
      <c r="G68" s="224"/>
      <c r="H68" s="224"/>
      <c r="I68" s="489"/>
      <c r="J68" s="489"/>
      <c r="K68" s="217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489"/>
      <c r="E69" s="217"/>
      <c r="F69" s="224"/>
      <c r="G69" s="224"/>
      <c r="H69" s="224"/>
      <c r="I69" s="489"/>
      <c r="J69" s="489"/>
      <c r="K69" s="217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489"/>
      <c r="E70" s="217"/>
      <c r="F70" s="224"/>
      <c r="G70" s="224"/>
      <c r="H70" s="224"/>
      <c r="I70" s="489"/>
      <c r="J70" s="489"/>
      <c r="K70" s="217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489"/>
      <c r="E71" s="217"/>
      <c r="F71" s="224"/>
      <c r="G71" s="224"/>
      <c r="H71" s="224"/>
      <c r="I71" s="489"/>
      <c r="J71" s="489"/>
      <c r="K71" s="217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489"/>
      <c r="E72" s="217"/>
      <c r="F72" s="224"/>
      <c r="G72" s="224"/>
      <c r="H72" s="224"/>
      <c r="I72" s="489"/>
      <c r="J72" s="489"/>
      <c r="K72" s="217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489"/>
      <c r="E73" s="217"/>
      <c r="F73" s="224"/>
      <c r="G73" s="224"/>
      <c r="H73" s="224"/>
      <c r="I73" s="489"/>
      <c r="J73" s="489"/>
      <c r="K73" s="217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489"/>
      <c r="E74" s="217"/>
      <c r="F74" s="224"/>
      <c r="G74" s="224"/>
      <c r="H74" s="224"/>
      <c r="I74" s="489"/>
      <c r="J74" s="489"/>
      <c r="K74" s="217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489"/>
      <c r="E75" s="217"/>
      <c r="F75" s="224"/>
      <c r="G75" s="224"/>
      <c r="H75" s="224"/>
      <c r="I75" s="489"/>
      <c r="J75" s="489"/>
      <c r="K75" s="217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489"/>
      <c r="E76" s="217"/>
      <c r="F76" s="224"/>
      <c r="G76" s="224"/>
      <c r="H76" s="224"/>
      <c r="I76" s="489"/>
      <c r="J76" s="489"/>
      <c r="K76" s="217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489"/>
      <c r="E77" s="217"/>
      <c r="F77" s="224"/>
      <c r="G77" s="224"/>
      <c r="H77" s="224"/>
      <c r="I77" s="489"/>
      <c r="J77" s="489"/>
      <c r="K77" s="217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489"/>
      <c r="E78" s="217"/>
      <c r="F78" s="224"/>
      <c r="G78" s="224"/>
      <c r="H78" s="224"/>
      <c r="I78" s="489"/>
      <c r="J78" s="489"/>
      <c r="K78" s="217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489"/>
      <c r="E79" s="217"/>
      <c r="F79" s="224"/>
      <c r="G79" s="224"/>
      <c r="H79" s="224"/>
      <c r="I79" s="489"/>
      <c r="J79" s="489"/>
      <c r="K79" s="217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489"/>
      <c r="E80" s="217"/>
      <c r="F80" s="224"/>
      <c r="G80" s="224"/>
      <c r="H80" s="224"/>
      <c r="I80" s="489"/>
      <c r="J80" s="489"/>
      <c r="K80" s="217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489"/>
      <c r="E81" s="217"/>
      <c r="F81" s="224"/>
      <c r="G81" s="224"/>
      <c r="H81" s="224"/>
      <c r="I81" s="489"/>
      <c r="J81" s="489"/>
      <c r="K81" s="217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489"/>
      <c r="E82" s="217"/>
      <c r="F82" s="224"/>
      <c r="G82" s="224"/>
      <c r="H82" s="224"/>
      <c r="I82" s="489"/>
      <c r="J82" s="489"/>
      <c r="K82" s="217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489"/>
      <c r="E83" s="217"/>
      <c r="F83" s="224"/>
      <c r="G83" s="224"/>
      <c r="H83" s="224"/>
      <c r="I83" s="489"/>
      <c r="J83" s="489"/>
      <c r="K83" s="217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489"/>
      <c r="E84" s="217"/>
      <c r="F84" s="224"/>
      <c r="G84" s="224"/>
      <c r="H84" s="224"/>
      <c r="I84" s="489"/>
      <c r="J84" s="489"/>
      <c r="K84" s="217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489"/>
      <c r="E85" s="217"/>
      <c r="F85" s="224"/>
      <c r="G85" s="224"/>
      <c r="H85" s="224"/>
      <c r="I85" s="489"/>
      <c r="J85" s="489"/>
      <c r="K85" s="217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489"/>
      <c r="E86" s="217"/>
      <c r="F86" s="224"/>
      <c r="G86" s="224"/>
      <c r="H86" s="224"/>
      <c r="I86" s="489"/>
      <c r="J86" s="489"/>
      <c r="K86" s="217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489"/>
      <c r="E87" s="217"/>
      <c r="F87" s="224"/>
      <c r="G87" s="224"/>
      <c r="H87" s="224"/>
      <c r="I87" s="489"/>
      <c r="J87" s="489"/>
      <c r="K87" s="217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489"/>
      <c r="E88" s="217"/>
      <c r="F88" s="224"/>
      <c r="G88" s="224"/>
      <c r="H88" s="224"/>
      <c r="I88" s="489"/>
      <c r="J88" s="489"/>
      <c r="K88" s="217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489"/>
      <c r="E89" s="217"/>
      <c r="F89" s="224"/>
      <c r="G89" s="224"/>
      <c r="H89" s="224"/>
      <c r="I89" s="489"/>
      <c r="J89" s="489"/>
      <c r="K89" s="217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489"/>
      <c r="E90" s="217"/>
      <c r="F90" s="224"/>
      <c r="G90" s="224"/>
      <c r="H90" s="224"/>
      <c r="I90" s="489"/>
      <c r="J90" s="489"/>
      <c r="K90" s="217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489"/>
      <c r="E91" s="217"/>
      <c r="F91" s="224"/>
      <c r="G91" s="224"/>
      <c r="H91" s="224"/>
      <c r="I91" s="489"/>
      <c r="J91" s="489"/>
      <c r="K91" s="217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489"/>
      <c r="E92" s="217"/>
      <c r="F92" s="224"/>
      <c r="G92" s="224"/>
      <c r="H92" s="224"/>
      <c r="I92" s="489"/>
      <c r="J92" s="489"/>
      <c r="K92" s="217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489"/>
      <c r="E93" s="217"/>
      <c r="F93" s="224"/>
      <c r="G93" s="224"/>
      <c r="H93" s="224"/>
      <c r="I93" s="489"/>
      <c r="J93" s="489"/>
      <c r="K93" s="217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489"/>
      <c r="E94" s="217"/>
      <c r="F94" s="224"/>
      <c r="G94" s="224"/>
      <c r="H94" s="224"/>
      <c r="I94" s="489"/>
      <c r="J94" s="489"/>
      <c r="K94" s="217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489"/>
      <c r="E95" s="217"/>
      <c r="F95" s="224"/>
      <c r="G95" s="224"/>
      <c r="H95" s="224"/>
      <c r="I95" s="489"/>
      <c r="J95" s="489"/>
      <c r="K95" s="217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489"/>
      <c r="E96" s="217"/>
      <c r="F96" s="224"/>
      <c r="G96" s="224"/>
      <c r="H96" s="224"/>
      <c r="I96" s="489"/>
      <c r="J96" s="489"/>
      <c r="K96" s="217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489"/>
      <c r="E97" s="217"/>
      <c r="F97" s="224"/>
      <c r="G97" s="224"/>
      <c r="H97" s="224"/>
      <c r="I97" s="489"/>
      <c r="J97" s="489"/>
      <c r="K97" s="217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489"/>
      <c r="E98" s="217"/>
      <c r="F98" s="224"/>
      <c r="G98" s="224"/>
      <c r="H98" s="224"/>
      <c r="I98" s="489"/>
      <c r="J98" s="489"/>
      <c r="K98" s="217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489"/>
      <c r="E99" s="217"/>
      <c r="F99" s="224"/>
      <c r="G99" s="224"/>
      <c r="H99" s="224"/>
      <c r="I99" s="489"/>
      <c r="J99" s="489"/>
      <c r="K99" s="217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489"/>
      <c r="E100" s="217"/>
      <c r="F100" s="224"/>
      <c r="G100" s="224"/>
      <c r="H100" s="224"/>
      <c r="I100" s="489"/>
      <c r="J100" s="489"/>
      <c r="K100" s="217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489"/>
      <c r="E101" s="217"/>
      <c r="F101" s="224"/>
      <c r="G101" s="224"/>
      <c r="H101" s="224"/>
      <c r="I101" s="489"/>
      <c r="J101" s="489"/>
      <c r="K101" s="217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489"/>
      <c r="E102" s="217"/>
      <c r="F102" s="224"/>
      <c r="G102" s="224"/>
      <c r="H102" s="224"/>
      <c r="I102" s="489"/>
      <c r="J102" s="489"/>
      <c r="K102" s="217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489"/>
      <c r="E103" s="217"/>
      <c r="F103" s="224"/>
      <c r="G103" s="224"/>
      <c r="H103" s="224"/>
      <c r="I103" s="489"/>
      <c r="J103" s="489"/>
      <c r="K103" s="217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489"/>
      <c r="E104" s="217"/>
      <c r="F104" s="224"/>
      <c r="G104" s="224"/>
      <c r="H104" s="224"/>
      <c r="I104" s="489"/>
      <c r="J104" s="489"/>
      <c r="K104" s="217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489"/>
      <c r="E105" s="217"/>
      <c r="F105" s="224"/>
      <c r="G105" s="224"/>
      <c r="H105" s="224"/>
      <c r="I105" s="489"/>
      <c r="J105" s="489"/>
      <c r="K105" s="217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489"/>
      <c r="E106" s="217"/>
      <c r="F106" s="224"/>
      <c r="G106" s="224"/>
      <c r="H106" s="224"/>
      <c r="I106" s="489"/>
      <c r="J106" s="489"/>
      <c r="K106" s="217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489"/>
      <c r="E107" s="217"/>
      <c r="F107" s="224"/>
      <c r="G107" s="224"/>
      <c r="H107" s="224"/>
      <c r="I107" s="489"/>
      <c r="J107" s="489"/>
      <c r="K107" s="217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489"/>
      <c r="E108" s="217"/>
      <c r="F108" s="224"/>
      <c r="G108" s="224"/>
      <c r="H108" s="224"/>
      <c r="I108" s="489"/>
      <c r="J108" s="489"/>
      <c r="K108" s="217"/>
      <c r="L108" s="224"/>
      <c r="M108" s="224"/>
      <c r="N108" s="224"/>
      <c r="O108" s="489"/>
      <c r="P108" s="489"/>
      <c r="Q108" s="224"/>
      <c r="R108" s="224"/>
      <c r="S108" s="224"/>
      <c r="T108" s="224"/>
      <c r="U108" s="489"/>
      <c r="V108" s="489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C109" s="489"/>
      <c r="D109" s="489"/>
      <c r="E109" s="217"/>
      <c r="F109" s="224"/>
      <c r="G109" s="224"/>
      <c r="H109" s="224"/>
      <c r="I109" s="489"/>
      <c r="J109" s="489"/>
      <c r="K109" s="217"/>
      <c r="L109" s="224"/>
      <c r="M109" s="224"/>
      <c r="N109" s="224"/>
      <c r="O109" s="489"/>
      <c r="P109" s="489"/>
      <c r="Q109" s="224"/>
      <c r="R109" s="224"/>
      <c r="S109" s="224"/>
      <c r="T109" s="224"/>
      <c r="U109" s="489"/>
      <c r="V109" s="489"/>
      <c r="W109" s="224"/>
      <c r="X109" s="224"/>
      <c r="Y109" s="224"/>
      <c r="Z109" s="224"/>
      <c r="AA109" s="489"/>
      <c r="AB109" s="489"/>
      <c r="AC109" s="224"/>
      <c r="AD109" s="224"/>
      <c r="AE109" s="489"/>
    </row>
    <row r="110" spans="3:31" ht="16.2" customHeight="1">
      <c r="C110" s="489"/>
      <c r="D110" s="489"/>
      <c r="E110" s="217"/>
      <c r="F110" s="224"/>
      <c r="G110" s="224"/>
      <c r="H110" s="224"/>
      <c r="I110" s="489"/>
      <c r="J110" s="489"/>
      <c r="K110" s="217"/>
      <c r="L110" s="224"/>
      <c r="M110" s="224"/>
      <c r="N110" s="224"/>
      <c r="O110" s="489"/>
      <c r="P110" s="489"/>
      <c r="Q110" s="224"/>
      <c r="R110" s="224"/>
      <c r="S110" s="224"/>
      <c r="T110" s="224"/>
      <c r="U110" s="489"/>
      <c r="V110" s="489"/>
      <c r="W110" s="224"/>
      <c r="X110" s="224"/>
      <c r="Y110" s="224"/>
      <c r="Z110" s="224"/>
      <c r="AA110" s="489"/>
      <c r="AB110" s="489"/>
      <c r="AC110" s="224"/>
      <c r="AD110" s="224"/>
      <c r="AE110" s="489"/>
    </row>
    <row r="111" spans="3:31" ht="16.2" customHeight="1">
      <c r="C111" s="489"/>
      <c r="D111" s="489"/>
      <c r="E111" s="217"/>
      <c r="F111" s="224"/>
      <c r="G111" s="224"/>
      <c r="H111" s="224"/>
      <c r="I111" s="489"/>
      <c r="J111" s="489"/>
      <c r="K111" s="217"/>
      <c r="L111" s="224"/>
      <c r="M111" s="224"/>
      <c r="N111" s="224"/>
      <c r="O111" s="489"/>
      <c r="P111" s="489"/>
      <c r="Q111" s="224"/>
      <c r="R111" s="224"/>
      <c r="S111" s="224"/>
      <c r="T111" s="224"/>
      <c r="U111" s="489"/>
      <c r="V111" s="489"/>
      <c r="W111" s="224"/>
      <c r="X111" s="224"/>
      <c r="Y111" s="224"/>
      <c r="Z111" s="224"/>
      <c r="AA111" s="489"/>
      <c r="AB111" s="489"/>
      <c r="AC111" s="224"/>
      <c r="AD111" s="224"/>
      <c r="AE111" s="489"/>
    </row>
    <row r="112" spans="3:31" ht="16.2" customHeight="1">
      <c r="C112" s="489"/>
      <c r="D112" s="489"/>
      <c r="E112" s="217"/>
      <c r="F112" s="224"/>
      <c r="G112" s="224"/>
      <c r="H112" s="224"/>
      <c r="I112" s="489"/>
      <c r="J112" s="489"/>
      <c r="K112" s="217"/>
      <c r="L112" s="224"/>
      <c r="M112" s="224"/>
      <c r="N112" s="224"/>
      <c r="O112" s="489"/>
      <c r="P112" s="489"/>
      <c r="Q112" s="224"/>
      <c r="R112" s="224"/>
      <c r="S112" s="224"/>
      <c r="T112" s="224"/>
      <c r="U112" s="489"/>
      <c r="V112" s="489"/>
      <c r="W112" s="224"/>
      <c r="X112" s="224"/>
      <c r="Y112" s="224"/>
      <c r="Z112" s="224"/>
      <c r="AA112" s="489"/>
      <c r="AB112" s="489"/>
      <c r="AC112" s="224"/>
      <c r="AD112" s="224"/>
      <c r="AE112" s="489"/>
    </row>
    <row r="113" spans="3:31" ht="16.2" customHeight="1">
      <c r="C113" s="489"/>
      <c r="D113" s="489"/>
      <c r="E113" s="217"/>
      <c r="F113" s="224"/>
      <c r="G113" s="224"/>
      <c r="H113" s="224"/>
      <c r="I113" s="489"/>
      <c r="J113" s="489"/>
      <c r="K113" s="217"/>
      <c r="L113" s="224"/>
      <c r="M113" s="224"/>
      <c r="N113" s="224"/>
      <c r="O113" s="489"/>
      <c r="P113" s="489"/>
      <c r="Q113" s="224"/>
      <c r="R113" s="224"/>
      <c r="S113" s="224"/>
      <c r="T113" s="224"/>
      <c r="U113" s="489"/>
      <c r="V113" s="489"/>
      <c r="W113" s="224"/>
      <c r="X113" s="224"/>
      <c r="Y113" s="224"/>
      <c r="Z113" s="224"/>
      <c r="AA113" s="489"/>
      <c r="AB113" s="489"/>
      <c r="AC113" s="224"/>
      <c r="AD113" s="224"/>
      <c r="AE113" s="489"/>
    </row>
  </sheetData>
  <sheetProtection formatCells="0"/>
  <mergeCells count="14">
    <mergeCell ref="C2:F3"/>
    <mergeCell ref="D5:L6"/>
    <mergeCell ref="W5:X5"/>
    <mergeCell ref="P5:V6"/>
    <mergeCell ref="P7:Q8"/>
    <mergeCell ref="AA5:AC6"/>
    <mergeCell ref="AA7:AE8"/>
    <mergeCell ref="AA10:AD10"/>
    <mergeCell ref="C10:F10"/>
    <mergeCell ref="I10:L10"/>
    <mergeCell ref="O10:R10"/>
    <mergeCell ref="U10:X10"/>
    <mergeCell ref="D7:L8"/>
    <mergeCell ref="W7:X7"/>
  </mergeCells>
  <phoneticPr fontId="2"/>
  <conditionalFormatting sqref="R13:R20 X13:X27 L13:L25 F13:F27">
    <cfRule type="cellIs" dxfId="33" priority="1" operator="greaterThan">
      <formula>D13</formula>
    </cfRule>
  </conditionalFormatting>
  <hyperlinks>
    <hyperlink ref="C2:F3" location="提案表紙!A1" display="大阪府折込資料表" xr:uid="{00000000-0004-0000-0E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&amp;L豊中市&amp;RP-11/34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B6D2F5"/>
    <pageSetUpPr fitToPage="1"/>
  </sheetPr>
  <dimension ref="A1:AE98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4.2187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561</v>
      </c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317</v>
      </c>
      <c r="E4"/>
      <c r="F4"/>
      <c r="G4"/>
      <c r="H4"/>
      <c r="I4" s="187">
        <v>45717</v>
      </c>
      <c r="J4" s="186" t="s">
        <v>0</v>
      </c>
      <c r="K4" t="s">
        <v>272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298</v>
      </c>
      <c r="P7" s="827">
        <f>提案表紙!G9</f>
        <v>0</v>
      </c>
      <c r="Q7" s="828"/>
      <c r="R7" s="7" t="s">
        <v>249</v>
      </c>
      <c r="S7"/>
      <c r="T7"/>
      <c r="U7" s="410">
        <f>豊能郡折込部数+池田市折込部数+箕面市折込部数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250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309</v>
      </c>
      <c r="D10" s="819"/>
      <c r="E10" s="819"/>
      <c r="F10" s="820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311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726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726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726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726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726" t="s">
        <v>231</v>
      </c>
      <c r="AE11" s="507" t="s">
        <v>308</v>
      </c>
    </row>
    <row r="12" spans="1:31" ht="16.2" customHeight="1">
      <c r="A12" s="51">
        <v>2</v>
      </c>
      <c r="B12" s="488" t="s">
        <v>1410</v>
      </c>
      <c r="C12" s="46" t="s">
        <v>912</v>
      </c>
      <c r="D12" s="12"/>
      <c r="E12" s="32"/>
      <c r="F12" s="223"/>
      <c r="G12" s="51">
        <v>2</v>
      </c>
      <c r="H12" s="488" t="s">
        <v>1410</v>
      </c>
      <c r="I12" s="464"/>
      <c r="J12" s="211"/>
      <c r="K12" s="232"/>
      <c r="L12" s="223"/>
      <c r="M12" s="51">
        <v>2</v>
      </c>
      <c r="N12" s="488" t="s">
        <v>1410</v>
      </c>
      <c r="O12" s="489"/>
      <c r="P12" s="464"/>
      <c r="Q12" s="232"/>
      <c r="R12" s="223"/>
      <c r="S12" s="51">
        <v>2</v>
      </c>
      <c r="T12" s="488" t="s">
        <v>1410</v>
      </c>
      <c r="U12" s="464"/>
      <c r="V12" s="464"/>
      <c r="W12" s="232"/>
      <c r="X12" s="223"/>
      <c r="Y12" s="51">
        <v>2</v>
      </c>
      <c r="Z12" s="488" t="s">
        <v>1410</v>
      </c>
      <c r="AA12" s="464"/>
      <c r="AB12" s="464"/>
      <c r="AC12" s="35"/>
      <c r="AD12" s="16"/>
      <c r="AE12" s="11"/>
    </row>
    <row r="13" spans="1:31" ht="16.2" customHeight="1">
      <c r="A13" s="51">
        <v>3</v>
      </c>
      <c r="B13" s="51">
        <v>72151</v>
      </c>
      <c r="C13" s="690" t="s">
        <v>550</v>
      </c>
      <c r="D13" s="148">
        <v>1350</v>
      </c>
      <c r="E13" s="142"/>
      <c r="F13" s="404"/>
      <c r="G13" s="51">
        <v>3</v>
      </c>
      <c r="H13" s="51">
        <v>73165</v>
      </c>
      <c r="I13" s="691" t="s">
        <v>550</v>
      </c>
      <c r="J13" s="148">
        <v>400</v>
      </c>
      <c r="K13" s="142"/>
      <c r="L13" s="404"/>
      <c r="M13" s="51">
        <v>3</v>
      </c>
      <c r="N13" s="51">
        <v>75163</v>
      </c>
      <c r="O13" s="441" t="s">
        <v>550</v>
      </c>
      <c r="P13" s="148">
        <v>350</v>
      </c>
      <c r="Q13" s="142"/>
      <c r="R13" s="404"/>
      <c r="S13" s="51">
        <v>3</v>
      </c>
      <c r="T13" s="51">
        <v>74193</v>
      </c>
      <c r="U13" s="727" t="s">
        <v>551</v>
      </c>
      <c r="V13" s="148">
        <v>850</v>
      </c>
      <c r="W13" s="142"/>
      <c r="X13" s="404"/>
      <c r="Y13" s="51">
        <v>3</v>
      </c>
      <c r="Z13" s="51">
        <v>79001</v>
      </c>
      <c r="AA13" s="386" t="s">
        <v>555</v>
      </c>
      <c r="AB13" s="582">
        <v>400</v>
      </c>
      <c r="AC13" s="389"/>
      <c r="AD13" s="404"/>
      <c r="AE13" s="513"/>
    </row>
    <row r="14" spans="1:31" ht="16.2" customHeight="1">
      <c r="A14" s="51">
        <v>3</v>
      </c>
      <c r="B14" s="51"/>
      <c r="C14" s="386"/>
      <c r="D14" s="226"/>
      <c r="E14" s="165"/>
      <c r="F14" s="157"/>
      <c r="G14" s="51">
        <v>3</v>
      </c>
      <c r="H14" s="51"/>
      <c r="I14" s="512"/>
      <c r="J14" s="226"/>
      <c r="K14" s="165"/>
      <c r="L14" s="157"/>
      <c r="M14" s="51">
        <v>3</v>
      </c>
      <c r="N14" s="51">
        <v>75165</v>
      </c>
      <c r="O14" s="386" t="s">
        <v>1066</v>
      </c>
      <c r="P14" s="352">
        <v>50</v>
      </c>
      <c r="Q14" s="165"/>
      <c r="R14" s="405"/>
      <c r="S14" s="51">
        <v>3</v>
      </c>
      <c r="T14" s="51">
        <v>74195</v>
      </c>
      <c r="U14" s="386" t="s">
        <v>555</v>
      </c>
      <c r="V14" s="352">
        <v>400</v>
      </c>
      <c r="W14" s="142"/>
      <c r="X14" s="405"/>
      <c r="Y14" s="51">
        <v>3</v>
      </c>
      <c r="Z14" s="51">
        <v>79002</v>
      </c>
      <c r="AA14" s="386" t="s">
        <v>916</v>
      </c>
      <c r="AB14" s="623">
        <v>700</v>
      </c>
      <c r="AC14" s="172"/>
      <c r="AD14" s="405"/>
      <c r="AE14" s="516"/>
    </row>
    <row r="15" spans="1:31" ht="16.2" customHeight="1">
      <c r="A15" s="51">
        <v>3</v>
      </c>
      <c r="B15" s="51"/>
      <c r="C15" s="692"/>
      <c r="D15" s="226"/>
      <c r="E15" s="165"/>
      <c r="F15" s="157"/>
      <c r="G15" s="51">
        <v>3</v>
      </c>
      <c r="H15" s="51"/>
      <c r="I15" s="692"/>
      <c r="J15" s="226"/>
      <c r="K15" s="165"/>
      <c r="L15" s="157"/>
      <c r="M15" s="51">
        <v>3</v>
      </c>
      <c r="N15" s="51"/>
      <c r="O15" s="692"/>
      <c r="P15" s="226"/>
      <c r="Q15" s="165"/>
      <c r="R15" s="260"/>
      <c r="S15" s="51">
        <v>3</v>
      </c>
      <c r="T15" s="51">
        <v>74197</v>
      </c>
      <c r="U15" s="691" t="s">
        <v>550</v>
      </c>
      <c r="V15" s="352">
        <v>1400</v>
      </c>
      <c r="W15" s="142"/>
      <c r="X15" s="405"/>
      <c r="Y15" s="51">
        <v>3</v>
      </c>
      <c r="Z15" s="51">
        <v>79003</v>
      </c>
      <c r="AA15" s="386" t="s">
        <v>917</v>
      </c>
      <c r="AB15" s="623">
        <v>250</v>
      </c>
      <c r="AC15" s="172"/>
      <c r="AD15" s="405"/>
      <c r="AE15" s="516"/>
    </row>
    <row r="16" spans="1:31" ht="16.2" customHeight="1" thickBot="1">
      <c r="A16" s="51">
        <v>3</v>
      </c>
      <c r="B16" s="51"/>
      <c r="C16" s="692"/>
      <c r="D16" s="226"/>
      <c r="E16" s="165"/>
      <c r="F16" s="157"/>
      <c r="G16" s="51">
        <v>3</v>
      </c>
      <c r="H16" s="51"/>
      <c r="I16" s="692"/>
      <c r="J16" s="226"/>
      <c r="K16" s="165"/>
      <c r="L16" s="157"/>
      <c r="M16" s="51">
        <v>3</v>
      </c>
      <c r="N16" s="51"/>
      <c r="O16" s="692"/>
      <c r="P16" s="226"/>
      <c r="Q16" s="165"/>
      <c r="R16" s="260"/>
      <c r="S16" s="51">
        <v>3</v>
      </c>
      <c r="T16" s="51"/>
      <c r="U16" s="512"/>
      <c r="V16" s="226"/>
      <c r="W16" s="142"/>
      <c r="X16" s="157"/>
      <c r="Y16" s="51">
        <v>3</v>
      </c>
      <c r="Z16" s="51"/>
      <c r="AA16" s="512"/>
      <c r="AB16" s="543"/>
      <c r="AC16" s="172"/>
      <c r="AD16" s="173"/>
      <c r="AE16" s="516"/>
    </row>
    <row r="17" spans="1:31" ht="16.2" customHeight="1" thickTop="1">
      <c r="A17" s="51">
        <v>4</v>
      </c>
      <c r="B17" s="51"/>
      <c r="C17" s="523" t="s">
        <v>692</v>
      </c>
      <c r="D17" s="27">
        <f>SUM(D13:D16)</f>
        <v>1350</v>
      </c>
      <c r="E17" s="34"/>
      <c r="F17" s="75">
        <f>SUM(F13:F16)</f>
        <v>0</v>
      </c>
      <c r="G17" s="51">
        <v>4</v>
      </c>
      <c r="H17" s="51"/>
      <c r="I17" s="523" t="s">
        <v>692</v>
      </c>
      <c r="J17" s="27">
        <f>SUM(J13:J16)</f>
        <v>400</v>
      </c>
      <c r="K17" s="37"/>
      <c r="L17" s="75">
        <f>SUM(L13:L16)</f>
        <v>0</v>
      </c>
      <c r="M17" s="51">
        <v>4</v>
      </c>
      <c r="N17" s="51"/>
      <c r="O17" s="523" t="s">
        <v>692</v>
      </c>
      <c r="P17" s="27">
        <f>SUM(P13:P16)</f>
        <v>400</v>
      </c>
      <c r="Q17" s="37"/>
      <c r="R17" s="75">
        <f>SUM(R13:R16)</f>
        <v>0</v>
      </c>
      <c r="S17" s="51">
        <v>4</v>
      </c>
      <c r="T17" s="51"/>
      <c r="U17" s="523" t="s">
        <v>692</v>
      </c>
      <c r="V17" s="27">
        <f>SUM(V13:V16)</f>
        <v>2650</v>
      </c>
      <c r="W17" s="28"/>
      <c r="X17" s="75">
        <f>SUM(X13:X16)</f>
        <v>0</v>
      </c>
      <c r="Y17" s="51">
        <v>4</v>
      </c>
      <c r="Z17" s="51"/>
      <c r="AA17" s="523" t="s">
        <v>692</v>
      </c>
      <c r="AB17" s="37">
        <f>SUM(AB13:AB16)</f>
        <v>1350</v>
      </c>
      <c r="AC17" s="282"/>
      <c r="AD17" s="75">
        <f>SUM(AD13:AD16)</f>
        <v>0</v>
      </c>
      <c r="AE17" s="524">
        <f>D17+J17+P17+V17+AB17</f>
        <v>6150</v>
      </c>
    </row>
    <row r="18" spans="1:31" ht="16.2" customHeight="1">
      <c r="A18" s="51"/>
      <c r="B18" s="51"/>
      <c r="D18" s="21"/>
      <c r="G18" s="51"/>
      <c r="H18" s="51"/>
      <c r="J18" s="21"/>
      <c r="K18" s="14"/>
      <c r="L18" s="272"/>
      <c r="M18" s="51"/>
      <c r="N18" s="51"/>
      <c r="O18" s="489"/>
      <c r="P18" s="489"/>
      <c r="Q18" s="224"/>
      <c r="R18" s="272"/>
      <c r="S18" s="51"/>
      <c r="T18" s="51"/>
      <c r="U18" s="489"/>
      <c r="V18" s="489"/>
      <c r="W18" s="224"/>
      <c r="X18" s="224"/>
      <c r="Y18" s="51"/>
      <c r="Z18" s="51"/>
      <c r="AA18" s="489"/>
      <c r="AB18" s="489"/>
      <c r="AC18" s="224"/>
      <c r="AD18" s="527" t="s">
        <v>692</v>
      </c>
      <c r="AE18" s="93">
        <f>A豊能郡折込部数+M豊能郡折込部数+S大阪市豊能郡折込部数+Y豊能郡折込部数+AD17</f>
        <v>0</v>
      </c>
    </row>
    <row r="19" spans="1:31" ht="16.2" customHeight="1">
      <c r="A19" s="51">
        <v>2</v>
      </c>
      <c r="B19" s="488" t="s">
        <v>1411</v>
      </c>
      <c r="C19" s="45" t="s">
        <v>964</v>
      </c>
      <c r="D19" s="14"/>
      <c r="E19" s="14"/>
      <c r="G19" s="51">
        <v>2</v>
      </c>
      <c r="H19" s="488" t="s">
        <v>1411</v>
      </c>
      <c r="I19" s="14"/>
      <c r="J19" s="14"/>
      <c r="K19"/>
      <c r="L19" s="489"/>
      <c r="M19" s="51">
        <v>2</v>
      </c>
      <c r="N19" s="488" t="s">
        <v>1411</v>
      </c>
      <c r="O19" s="489"/>
      <c r="P19" s="489"/>
      <c r="Q19" s="489"/>
      <c r="R19" s="489"/>
      <c r="S19" s="51">
        <v>2</v>
      </c>
      <c r="T19" s="488" t="s">
        <v>1411</v>
      </c>
      <c r="U19" s="489"/>
      <c r="V19" s="213"/>
      <c r="W19" s="224"/>
      <c r="X19" s="224"/>
      <c r="Y19" s="51">
        <v>2</v>
      </c>
      <c r="Z19" s="488" t="s">
        <v>1411</v>
      </c>
      <c r="AA19" s="537"/>
      <c r="AB19" s="213"/>
      <c r="AD19" s="721"/>
      <c r="AE19" s="275"/>
    </row>
    <row r="20" spans="1:31" ht="16.2" customHeight="1">
      <c r="A20" s="51">
        <v>3</v>
      </c>
      <c r="B20" s="51">
        <v>72153</v>
      </c>
      <c r="C20" s="386" t="s">
        <v>1548</v>
      </c>
      <c r="D20" s="148">
        <v>4300</v>
      </c>
      <c r="E20" s="136"/>
      <c r="F20" s="404"/>
      <c r="G20" s="51">
        <v>3</v>
      </c>
      <c r="H20" s="51">
        <v>73167</v>
      </c>
      <c r="I20" s="441" t="s">
        <v>963</v>
      </c>
      <c r="J20" s="148">
        <v>1850</v>
      </c>
      <c r="K20" s="136"/>
      <c r="L20" s="404"/>
      <c r="M20" s="51">
        <v>3</v>
      </c>
      <c r="N20" s="51">
        <v>75167</v>
      </c>
      <c r="O20" s="441" t="s">
        <v>963</v>
      </c>
      <c r="P20" s="148">
        <v>1700</v>
      </c>
      <c r="Q20" s="130"/>
      <c r="R20" s="404"/>
      <c r="S20" s="51">
        <v>3</v>
      </c>
      <c r="T20" s="51">
        <v>74199</v>
      </c>
      <c r="U20" s="441" t="s">
        <v>963</v>
      </c>
      <c r="V20" s="148">
        <v>2750</v>
      </c>
      <c r="W20" s="130"/>
      <c r="X20" s="404"/>
      <c r="Y20" s="51">
        <v>3</v>
      </c>
      <c r="Z20" s="51"/>
      <c r="AA20" s="703"/>
      <c r="AB20" s="215"/>
      <c r="AC20" s="130"/>
      <c r="AD20" s="158"/>
      <c r="AE20" s="513"/>
    </row>
    <row r="21" spans="1:31" ht="16.2" customHeight="1">
      <c r="A21" s="51">
        <v>3</v>
      </c>
      <c r="B21" s="51">
        <v>72156</v>
      </c>
      <c r="C21" s="386" t="s">
        <v>1632</v>
      </c>
      <c r="D21" s="143">
        <v>1500</v>
      </c>
      <c r="E21" s="137"/>
      <c r="F21" s="405"/>
      <c r="G21" s="51">
        <v>3</v>
      </c>
      <c r="H21" s="51"/>
      <c r="I21" s="386"/>
      <c r="J21" s="446"/>
      <c r="K21" s="137"/>
      <c r="L21" s="405"/>
      <c r="M21" s="51">
        <v>3</v>
      </c>
      <c r="N21" s="51"/>
      <c r="O21" s="512"/>
      <c r="P21" s="139"/>
      <c r="Q21" s="131"/>
      <c r="R21" s="132"/>
      <c r="S21" s="51">
        <v>3</v>
      </c>
      <c r="T21" s="51">
        <v>74203</v>
      </c>
      <c r="U21" s="386" t="s">
        <v>962</v>
      </c>
      <c r="V21" s="143">
        <v>2000</v>
      </c>
      <c r="W21" s="131"/>
      <c r="X21" s="405"/>
      <c r="Y21" s="51">
        <v>3</v>
      </c>
      <c r="Z21" s="51"/>
      <c r="AA21" s="512"/>
      <c r="AB21" s="139"/>
      <c r="AC21" s="131"/>
      <c r="AD21" s="159"/>
      <c r="AE21" s="516"/>
    </row>
    <row r="22" spans="1:31" ht="16.2" customHeight="1">
      <c r="A22" s="51">
        <v>3</v>
      </c>
      <c r="B22" s="51"/>
      <c r="C22" s="512"/>
      <c r="D22" s="139"/>
      <c r="E22" s="137"/>
      <c r="F22" s="402"/>
      <c r="G22" s="51">
        <v>3</v>
      </c>
      <c r="H22" s="51"/>
      <c r="I22" s="386"/>
      <c r="J22" s="446"/>
      <c r="K22" s="137"/>
      <c r="L22" s="405"/>
      <c r="M22" s="51">
        <v>3</v>
      </c>
      <c r="N22" s="51"/>
      <c r="O22" s="512"/>
      <c r="P22" s="139"/>
      <c r="Q22" s="131"/>
      <c r="R22" s="132"/>
      <c r="S22" s="51">
        <v>3</v>
      </c>
      <c r="T22" s="51">
        <v>74205</v>
      </c>
      <c r="U22" s="386" t="s">
        <v>432</v>
      </c>
      <c r="V22" s="143">
        <v>2550</v>
      </c>
      <c r="W22" s="131"/>
      <c r="X22" s="405"/>
      <c r="Y22" s="51">
        <v>3</v>
      </c>
      <c r="Z22" s="51"/>
      <c r="AA22" s="512"/>
      <c r="AB22" s="139"/>
      <c r="AC22" s="131"/>
      <c r="AD22" s="159"/>
      <c r="AE22" s="516"/>
    </row>
    <row r="23" spans="1:31" ht="16.2" customHeight="1">
      <c r="A23" s="51">
        <v>3</v>
      </c>
      <c r="B23" s="51"/>
      <c r="C23" s="512"/>
      <c r="D23" s="139"/>
      <c r="E23" s="137"/>
      <c r="F23" s="402"/>
      <c r="G23" s="51">
        <v>3</v>
      </c>
      <c r="H23" s="51"/>
      <c r="I23" s="386"/>
      <c r="J23" s="446"/>
      <c r="K23" s="137"/>
      <c r="L23" s="405"/>
      <c r="M23" s="51">
        <v>3</v>
      </c>
      <c r="N23" s="51"/>
      <c r="O23" s="512"/>
      <c r="P23" s="139"/>
      <c r="Q23" s="131"/>
      <c r="R23" s="132"/>
      <c r="S23" s="51">
        <v>3</v>
      </c>
      <c r="T23" s="51"/>
      <c r="U23" s="386"/>
      <c r="V23" s="143"/>
      <c r="W23" s="131"/>
      <c r="X23" s="405"/>
      <c r="Y23" s="51">
        <v>3</v>
      </c>
      <c r="Z23" s="51"/>
      <c r="AA23" s="512"/>
      <c r="AB23" s="139"/>
      <c r="AC23" s="131"/>
      <c r="AD23" s="159"/>
      <c r="AE23" s="516"/>
    </row>
    <row r="24" spans="1:31" ht="16.2" customHeight="1" thickBot="1">
      <c r="A24" s="51">
        <v>3</v>
      </c>
      <c r="B24" s="51"/>
      <c r="C24" s="512"/>
      <c r="D24" s="139"/>
      <c r="E24" s="137"/>
      <c r="F24" s="402"/>
      <c r="G24" s="51">
        <v>3</v>
      </c>
      <c r="H24" s="51"/>
      <c r="I24" s="512"/>
      <c r="J24" s="139"/>
      <c r="K24" s="137"/>
      <c r="L24" s="402"/>
      <c r="M24" s="51">
        <v>3</v>
      </c>
      <c r="N24" s="51"/>
      <c r="O24" s="512"/>
      <c r="P24" s="139"/>
      <c r="Q24" s="131"/>
      <c r="R24" s="140"/>
      <c r="S24" s="51">
        <v>3</v>
      </c>
      <c r="T24" s="51"/>
      <c r="U24" s="386"/>
      <c r="V24" s="143"/>
      <c r="W24" s="131"/>
      <c r="X24" s="405"/>
      <c r="Y24" s="51">
        <v>3</v>
      </c>
      <c r="Z24" s="51"/>
      <c r="AA24" s="512"/>
      <c r="AB24" s="139"/>
      <c r="AC24" s="131"/>
      <c r="AD24" s="159"/>
      <c r="AE24" s="516"/>
    </row>
    <row r="25" spans="1:31" ht="16.2" customHeight="1" thickTop="1">
      <c r="A25" s="51">
        <v>4</v>
      </c>
      <c r="B25" s="51"/>
      <c r="C25" s="523" t="s">
        <v>271</v>
      </c>
      <c r="D25" s="535">
        <f>SUM(D20:D24)</f>
        <v>5800</v>
      </c>
      <c r="E25" s="28" t="s">
        <v>272</v>
      </c>
      <c r="F25" s="75">
        <f>SUM(F20:F24)</f>
        <v>0</v>
      </c>
      <c r="G25" s="51">
        <v>4</v>
      </c>
      <c r="H25" s="51"/>
      <c r="I25" s="523" t="s">
        <v>271</v>
      </c>
      <c r="J25" s="535">
        <f>SUM(J20:J24)</f>
        <v>1850</v>
      </c>
      <c r="K25" s="28"/>
      <c r="L25" s="75">
        <f>SUM(L20:L24)</f>
        <v>0</v>
      </c>
      <c r="M25" s="51">
        <v>4</v>
      </c>
      <c r="N25" s="51"/>
      <c r="O25" s="523" t="s">
        <v>271</v>
      </c>
      <c r="P25" s="535">
        <f>SUM(P20:P24)</f>
        <v>1700</v>
      </c>
      <c r="Q25" s="25"/>
      <c r="R25" s="75">
        <f>SUM(R20:R24)</f>
        <v>0</v>
      </c>
      <c r="S25" s="51">
        <v>4</v>
      </c>
      <c r="T25" s="51"/>
      <c r="U25" s="523" t="s">
        <v>271</v>
      </c>
      <c r="V25" s="27">
        <f>SUM(V20:V24)</f>
        <v>7300</v>
      </c>
      <c r="W25" s="25"/>
      <c r="X25" s="75">
        <f>SUM(X20:X24)</f>
        <v>0</v>
      </c>
      <c r="Y25" s="51">
        <v>4</v>
      </c>
      <c r="Z25" s="51"/>
      <c r="AA25" s="523" t="s">
        <v>271</v>
      </c>
      <c r="AB25" s="27">
        <f>SUM(AB20:AB24)</f>
        <v>0</v>
      </c>
      <c r="AC25" s="25"/>
      <c r="AD25" s="26">
        <f>SUM(AD20:AD24)</f>
        <v>0</v>
      </c>
      <c r="AE25" s="524">
        <f>D25+J25+P25+V25+AB25</f>
        <v>16650</v>
      </c>
    </row>
    <row r="26" spans="1:31" ht="16.2" customHeight="1">
      <c r="A26" s="51"/>
      <c r="B26" s="51"/>
      <c r="C26" s="489"/>
      <c r="D26" s="489"/>
      <c r="E26" s="217"/>
      <c r="F26" s="224"/>
      <c r="G26" s="51"/>
      <c r="H26" s="51"/>
      <c r="I26" s="489"/>
      <c r="J26" s="489"/>
      <c r="K26" s="217"/>
      <c r="L26" s="224"/>
      <c r="M26" s="51"/>
      <c r="N26" s="51"/>
      <c r="O26" s="489"/>
      <c r="P26" s="489"/>
      <c r="Q26" s="224"/>
      <c r="R26" s="224"/>
      <c r="S26" s="51"/>
      <c r="T26" s="51"/>
      <c r="U26" s="489"/>
      <c r="V26" s="489"/>
      <c r="W26" s="224"/>
      <c r="X26" s="224"/>
      <c r="Y26" s="51"/>
      <c r="Z26" s="51"/>
      <c r="AA26" s="489"/>
      <c r="AB26" s="489"/>
      <c r="AC26" s="224"/>
      <c r="AD26" s="728" t="s">
        <v>245</v>
      </c>
      <c r="AE26" s="329">
        <f>A池田市折込部数+M池田市折込部数+S池田市折込部数+Y池田市折込部数+AD25</f>
        <v>0</v>
      </c>
    </row>
    <row r="27" spans="1:31" ht="16.2" customHeight="1">
      <c r="A27" s="51">
        <v>2</v>
      </c>
      <c r="B27" s="488" t="s">
        <v>1412</v>
      </c>
      <c r="C27" s="46" t="s">
        <v>965</v>
      </c>
      <c r="G27" s="51">
        <v>2</v>
      </c>
      <c r="H27" s="488" t="s">
        <v>1412</v>
      </c>
      <c r="M27" s="51">
        <v>2</v>
      </c>
      <c r="N27" s="488" t="s">
        <v>1412</v>
      </c>
      <c r="Q27" s="15"/>
      <c r="R27"/>
      <c r="S27" s="51">
        <v>2</v>
      </c>
      <c r="T27" s="488" t="s">
        <v>1412</v>
      </c>
      <c r="W27" s="15"/>
      <c r="X27"/>
      <c r="Y27" s="51">
        <v>2</v>
      </c>
      <c r="Z27" s="488" t="s">
        <v>1412</v>
      </c>
      <c r="AB27" s="15"/>
      <c r="AC27"/>
      <c r="AD27"/>
    </row>
    <row r="28" spans="1:31" ht="16.2" customHeight="1">
      <c r="A28" s="51">
        <v>3</v>
      </c>
      <c r="B28" s="51">
        <v>72157</v>
      </c>
      <c r="C28" s="441" t="s">
        <v>607</v>
      </c>
      <c r="D28" s="148">
        <v>3100</v>
      </c>
      <c r="E28" s="162"/>
      <c r="F28" s="404"/>
      <c r="G28" s="51">
        <v>3</v>
      </c>
      <c r="H28" s="51">
        <v>73173</v>
      </c>
      <c r="I28" s="441" t="s">
        <v>1267</v>
      </c>
      <c r="J28" s="148">
        <v>3500</v>
      </c>
      <c r="K28" s="162"/>
      <c r="L28" s="404"/>
      <c r="M28" s="51">
        <v>3</v>
      </c>
      <c r="N28" s="51">
        <v>75169</v>
      </c>
      <c r="O28" s="441" t="s">
        <v>608</v>
      </c>
      <c r="P28" s="267">
        <v>1600</v>
      </c>
      <c r="Q28" s="162"/>
      <c r="R28" s="404"/>
      <c r="S28" s="51">
        <v>3</v>
      </c>
      <c r="T28" s="51">
        <v>74207</v>
      </c>
      <c r="U28" s="441" t="s">
        <v>607</v>
      </c>
      <c r="V28" s="148">
        <v>2600</v>
      </c>
      <c r="W28" s="162"/>
      <c r="X28" s="404"/>
      <c r="Y28" s="51">
        <v>3</v>
      </c>
      <c r="Z28" s="51"/>
      <c r="AA28" s="703"/>
      <c r="AB28" s="215"/>
      <c r="AC28" s="162"/>
      <c r="AD28" s="129"/>
      <c r="AE28" s="704"/>
    </row>
    <row r="29" spans="1:31" ht="16.2" customHeight="1">
      <c r="A29" s="51">
        <v>3</v>
      </c>
      <c r="B29" s="51">
        <v>72159</v>
      </c>
      <c r="C29" s="386" t="s">
        <v>613</v>
      </c>
      <c r="D29" s="143">
        <v>2700</v>
      </c>
      <c r="E29" s="146"/>
      <c r="F29" s="405"/>
      <c r="G29" s="51">
        <v>3</v>
      </c>
      <c r="H29" s="51">
        <v>73175</v>
      </c>
      <c r="I29" s="386" t="s">
        <v>609</v>
      </c>
      <c r="J29" s="143">
        <v>550</v>
      </c>
      <c r="K29" s="146"/>
      <c r="L29" s="405"/>
      <c r="M29" s="51">
        <v>3</v>
      </c>
      <c r="N29" s="51">
        <v>75171</v>
      </c>
      <c r="O29" s="386" t="s">
        <v>609</v>
      </c>
      <c r="P29" s="143">
        <v>800</v>
      </c>
      <c r="Q29" s="137"/>
      <c r="R29" s="405"/>
      <c r="S29" s="51">
        <v>3</v>
      </c>
      <c r="T29" s="51">
        <v>74209</v>
      </c>
      <c r="U29" s="386" t="s">
        <v>613</v>
      </c>
      <c r="V29" s="143">
        <v>2400</v>
      </c>
      <c r="W29" s="146"/>
      <c r="X29" s="405"/>
      <c r="Y29" s="51">
        <v>3</v>
      </c>
      <c r="Z29" s="51"/>
      <c r="AA29" s="512"/>
      <c r="AB29" s="139"/>
      <c r="AC29" s="137"/>
      <c r="AD29" s="132"/>
      <c r="AE29" s="719"/>
    </row>
    <row r="30" spans="1:31" ht="16.2" customHeight="1">
      <c r="A30" s="51">
        <v>3</v>
      </c>
      <c r="B30" s="51">
        <v>72161</v>
      </c>
      <c r="C30" s="386" t="s">
        <v>609</v>
      </c>
      <c r="D30" s="446" t="s">
        <v>1566</v>
      </c>
      <c r="E30" s="146"/>
      <c r="F30" s="405"/>
      <c r="G30" s="51">
        <v>3</v>
      </c>
      <c r="H30" s="51">
        <v>73177</v>
      </c>
      <c r="I30" s="386" t="s">
        <v>612</v>
      </c>
      <c r="J30" s="143">
        <v>1450</v>
      </c>
      <c r="K30" s="137"/>
      <c r="L30" s="405"/>
      <c r="M30" s="51">
        <v>3</v>
      </c>
      <c r="N30" s="51"/>
      <c r="O30" s="386"/>
      <c r="P30" s="143"/>
      <c r="Q30" s="137"/>
      <c r="R30" s="132"/>
      <c r="S30" s="51">
        <v>3</v>
      </c>
      <c r="T30" s="51">
        <v>74211</v>
      </c>
      <c r="U30" s="386" t="s">
        <v>1294</v>
      </c>
      <c r="V30" s="143">
        <v>3800</v>
      </c>
      <c r="W30" s="137"/>
      <c r="X30" s="405"/>
      <c r="Y30" s="51">
        <v>3</v>
      </c>
      <c r="Z30" s="51"/>
      <c r="AA30" s="512"/>
      <c r="AB30" s="139"/>
      <c r="AC30" s="137"/>
      <c r="AD30" s="132"/>
      <c r="AE30" s="516"/>
    </row>
    <row r="31" spans="1:31" ht="16.2" customHeight="1">
      <c r="A31" s="51">
        <v>3</v>
      </c>
      <c r="B31" s="51">
        <v>72163</v>
      </c>
      <c r="C31" s="386" t="s">
        <v>610</v>
      </c>
      <c r="D31" s="143">
        <v>3050</v>
      </c>
      <c r="E31" s="146"/>
      <c r="F31" s="405"/>
      <c r="G31" s="51">
        <v>3</v>
      </c>
      <c r="H31" s="51"/>
      <c r="I31" s="386"/>
      <c r="J31" s="143"/>
      <c r="K31" s="137"/>
      <c r="L31" s="405"/>
      <c r="M31" s="51">
        <v>3</v>
      </c>
      <c r="N31" s="51"/>
      <c r="O31" s="512"/>
      <c r="P31" s="139"/>
      <c r="Q31" s="137"/>
      <c r="R31" s="132"/>
      <c r="S31" s="51">
        <v>3</v>
      </c>
      <c r="T31" s="51"/>
      <c r="U31" s="386"/>
      <c r="V31" s="143"/>
      <c r="W31" s="137"/>
      <c r="X31" s="405"/>
      <c r="Y31" s="51">
        <v>3</v>
      </c>
      <c r="Z31" s="51"/>
      <c r="AA31" s="512"/>
      <c r="AB31" s="139"/>
      <c r="AC31" s="137"/>
      <c r="AD31" s="132"/>
      <c r="AE31" s="516"/>
    </row>
    <row r="32" spans="1:31" ht="16.2" customHeight="1">
      <c r="A32" s="51">
        <v>3</v>
      </c>
      <c r="B32" s="51">
        <v>72164</v>
      </c>
      <c r="C32" s="386" t="s">
        <v>1484</v>
      </c>
      <c r="D32" s="446" t="s">
        <v>1566</v>
      </c>
      <c r="E32" s="146"/>
      <c r="F32" s="405"/>
      <c r="G32" s="51">
        <v>3</v>
      </c>
      <c r="H32" s="51"/>
      <c r="I32" s="512"/>
      <c r="J32" s="139"/>
      <c r="K32" s="137"/>
      <c r="L32" s="132"/>
      <c r="M32" s="51">
        <v>3</v>
      </c>
      <c r="N32" s="51"/>
      <c r="O32" s="512"/>
      <c r="P32" s="139"/>
      <c r="Q32" s="137"/>
      <c r="R32" s="132"/>
      <c r="S32" s="51">
        <v>3</v>
      </c>
      <c r="T32" s="51"/>
      <c r="U32" s="386"/>
      <c r="V32" s="143"/>
      <c r="W32" s="137"/>
      <c r="X32" s="405"/>
      <c r="Y32" s="51">
        <v>3</v>
      </c>
      <c r="Z32" s="51"/>
      <c r="AA32" s="512"/>
      <c r="AB32" s="139"/>
      <c r="AC32" s="137"/>
      <c r="AD32" s="132"/>
      <c r="AE32" s="516"/>
    </row>
    <row r="33" spans="1:31" ht="16.2" customHeight="1">
      <c r="A33" s="51">
        <v>3</v>
      </c>
      <c r="B33" s="51">
        <v>72166</v>
      </c>
      <c r="C33" s="386" t="s">
        <v>1485</v>
      </c>
      <c r="D33" s="446" t="s">
        <v>1566</v>
      </c>
      <c r="E33" s="146"/>
      <c r="F33" s="405"/>
      <c r="G33" s="51">
        <v>3</v>
      </c>
      <c r="H33" s="51"/>
      <c r="I33" s="512"/>
      <c r="J33" s="139"/>
      <c r="K33" s="137"/>
      <c r="L33" s="132"/>
      <c r="M33" s="51">
        <v>3</v>
      </c>
      <c r="N33" s="51"/>
      <c r="O33" s="512"/>
      <c r="P33" s="139"/>
      <c r="Q33" s="137"/>
      <c r="R33" s="132"/>
      <c r="S33" s="51">
        <v>3</v>
      </c>
      <c r="T33" s="51"/>
      <c r="U33" s="512"/>
      <c r="V33" s="139"/>
      <c r="W33" s="137"/>
      <c r="X33" s="132"/>
      <c r="Y33" s="51">
        <v>3</v>
      </c>
      <c r="Z33" s="51"/>
      <c r="AA33" s="512"/>
      <c r="AB33" s="139"/>
      <c r="AC33" s="137"/>
      <c r="AD33" s="132"/>
      <c r="AE33" s="516"/>
    </row>
    <row r="34" spans="1:31" ht="16.2" customHeight="1">
      <c r="A34" s="51">
        <v>3</v>
      </c>
      <c r="B34" s="51"/>
      <c r="C34" s="386"/>
      <c r="D34" s="143"/>
      <c r="E34" s="146"/>
      <c r="F34" s="405"/>
      <c r="G34" s="51">
        <v>3</v>
      </c>
      <c r="H34" s="51"/>
      <c r="I34" s="512"/>
      <c r="J34" s="139"/>
      <c r="K34" s="137"/>
      <c r="L34" s="132"/>
      <c r="M34" s="51">
        <v>3</v>
      </c>
      <c r="N34" s="51"/>
      <c r="O34" s="512"/>
      <c r="P34" s="139"/>
      <c r="Q34" s="137"/>
      <c r="R34" s="132"/>
      <c r="S34" s="51">
        <v>3</v>
      </c>
      <c r="T34" s="51"/>
      <c r="U34" s="512"/>
      <c r="V34" s="139"/>
      <c r="W34" s="137"/>
      <c r="X34" s="132"/>
      <c r="Y34" s="51">
        <v>3</v>
      </c>
      <c r="Z34" s="51"/>
      <c r="AA34" s="512"/>
      <c r="AB34" s="139"/>
      <c r="AC34" s="137"/>
      <c r="AD34" s="132"/>
      <c r="AE34" s="516"/>
    </row>
    <row r="35" spans="1:31" ht="16.2" customHeight="1" thickBot="1">
      <c r="A35" s="51">
        <v>3</v>
      </c>
      <c r="B35" s="51"/>
      <c r="C35" s="520"/>
      <c r="D35" s="208"/>
      <c r="E35" s="138"/>
      <c r="F35" s="133"/>
      <c r="G35" s="51">
        <v>3</v>
      </c>
      <c r="H35" s="51"/>
      <c r="I35" s="520"/>
      <c r="J35" s="208"/>
      <c r="K35" s="138"/>
      <c r="L35" s="133"/>
      <c r="M35" s="51">
        <v>3</v>
      </c>
      <c r="N35" s="51"/>
      <c r="O35" s="520"/>
      <c r="P35" s="208"/>
      <c r="Q35" s="138"/>
      <c r="R35" s="133"/>
      <c r="S35" s="51">
        <v>3</v>
      </c>
      <c r="T35" s="51"/>
      <c r="U35" s="520"/>
      <c r="V35" s="208"/>
      <c r="W35" s="138"/>
      <c r="X35" s="133"/>
      <c r="Y35" s="51">
        <v>3</v>
      </c>
      <c r="Z35" s="51"/>
      <c r="AA35" s="520"/>
      <c r="AB35" s="208"/>
      <c r="AC35" s="138"/>
      <c r="AD35" s="133"/>
      <c r="AE35" s="516"/>
    </row>
    <row r="36" spans="1:31" ht="16.2" customHeight="1" thickTop="1">
      <c r="A36" s="51">
        <v>4</v>
      </c>
      <c r="B36" s="51"/>
      <c r="C36" s="523" t="s">
        <v>273</v>
      </c>
      <c r="D36" s="27">
        <f>SUM(D28:D35)</f>
        <v>8850</v>
      </c>
      <c r="E36" s="28"/>
      <c r="F36" s="75">
        <f>SUM(F28:F35)</f>
        <v>0</v>
      </c>
      <c r="G36" s="51">
        <v>4</v>
      </c>
      <c r="H36" s="51"/>
      <c r="I36" s="523" t="s">
        <v>273</v>
      </c>
      <c r="J36" s="27">
        <f>SUM(J28:J35)</f>
        <v>5500</v>
      </c>
      <c r="K36" s="28"/>
      <c r="L36" s="75">
        <f>SUM(L28:L35)</f>
        <v>0</v>
      </c>
      <c r="M36" s="51">
        <v>4</v>
      </c>
      <c r="N36" s="51"/>
      <c r="O36" s="523" t="s">
        <v>273</v>
      </c>
      <c r="P36" s="27">
        <f>SUM(P28:P35)</f>
        <v>2400</v>
      </c>
      <c r="Q36" s="28"/>
      <c r="R36" s="75">
        <f>SUM(R28:R35)</f>
        <v>0</v>
      </c>
      <c r="S36" s="51">
        <v>4</v>
      </c>
      <c r="T36" s="51"/>
      <c r="U36" s="523" t="s">
        <v>273</v>
      </c>
      <c r="V36" s="27">
        <f>SUM(V28:V35)</f>
        <v>8800</v>
      </c>
      <c r="W36" s="28"/>
      <c r="X36" s="75">
        <f>SUM(X28:X35)</f>
        <v>0</v>
      </c>
      <c r="Y36" s="51">
        <v>4</v>
      </c>
      <c r="Z36" s="51"/>
      <c r="AA36" s="523" t="s">
        <v>273</v>
      </c>
      <c r="AB36" s="27">
        <f>SUM(AB28:AB35)</f>
        <v>0</v>
      </c>
      <c r="AC36" s="28"/>
      <c r="AD36" s="75">
        <f>SUM(AD28:AD35)</f>
        <v>0</v>
      </c>
      <c r="AE36" s="524">
        <f>D36+J36+P36+V36+AB36</f>
        <v>25550</v>
      </c>
    </row>
    <row r="37" spans="1:31" ht="16.2" customHeight="1">
      <c r="A37" s="51">
        <v>9</v>
      </c>
      <c r="B37" s="51"/>
      <c r="C37" s="489"/>
      <c r="D37" s="489"/>
      <c r="E37" s="217"/>
      <c r="F37" s="224"/>
      <c r="G37" s="51">
        <v>9</v>
      </c>
      <c r="H37" s="51"/>
      <c r="I37" s="489"/>
      <c r="J37" s="489"/>
      <c r="K37" s="217"/>
      <c r="L37" s="224"/>
      <c r="M37" s="51">
        <v>9</v>
      </c>
      <c r="N37" s="51"/>
      <c r="O37" s="489"/>
      <c r="P37" s="489"/>
      <c r="Q37" s="224"/>
      <c r="R37" s="224"/>
      <c r="S37" s="51">
        <v>9</v>
      </c>
      <c r="T37" s="51"/>
      <c r="U37" s="489"/>
      <c r="V37" s="489"/>
      <c r="W37" s="224"/>
      <c r="X37" s="224"/>
      <c r="Y37" s="51">
        <v>9</v>
      </c>
      <c r="Z37" s="51"/>
      <c r="AA37" s="489"/>
      <c r="AB37" s="489"/>
      <c r="AC37" s="224"/>
      <c r="AD37" s="728" t="s">
        <v>245</v>
      </c>
      <c r="AE37" s="328">
        <f>A箕面市折込部数+M箕面市折込部数+S箕面市折込部数+Y箕面市折込部数+AD36</f>
        <v>0</v>
      </c>
    </row>
    <row r="38" spans="1:31" ht="16.2" customHeight="1">
      <c r="C38" s="489"/>
      <c r="D38" s="489"/>
      <c r="E38" s="217"/>
      <c r="F38" s="224"/>
      <c r="G38" s="224"/>
      <c r="H38" s="224"/>
      <c r="I38" s="489"/>
      <c r="J38" s="489"/>
      <c r="K38" s="217"/>
      <c r="L38" s="224"/>
      <c r="M38" s="224"/>
      <c r="N38" s="224"/>
      <c r="O38" s="489"/>
      <c r="P38" s="489"/>
      <c r="Q38" s="224"/>
      <c r="R38" s="224"/>
      <c r="S38" s="224"/>
      <c r="T38" s="224"/>
      <c r="U38" s="489"/>
      <c r="V38" s="489"/>
      <c r="W38" s="224"/>
      <c r="X38" s="224"/>
      <c r="Y38" s="224"/>
      <c r="Z38" s="224"/>
      <c r="AA38" s="489"/>
      <c r="AB38" s="489"/>
      <c r="AC38" s="224"/>
      <c r="AD38" s="224"/>
      <c r="AE38" s="489"/>
    </row>
    <row r="39" spans="1:31" ht="16.2" customHeight="1">
      <c r="C39" s="489"/>
      <c r="D39" s="489"/>
      <c r="E39" s="217"/>
      <c r="F39" s="224"/>
      <c r="G39" s="224"/>
      <c r="H39" s="224"/>
      <c r="I39" s="489"/>
      <c r="J39" s="489"/>
      <c r="K39" s="217"/>
      <c r="L39" s="224"/>
      <c r="M39" s="224"/>
      <c r="N39" s="224"/>
      <c r="O39" s="489"/>
      <c r="P39" s="489"/>
      <c r="Q39" s="224"/>
      <c r="R39" s="224"/>
      <c r="S39" s="224"/>
      <c r="T39" s="224"/>
      <c r="U39" s="489"/>
      <c r="V39" s="489"/>
      <c r="W39" s="224"/>
      <c r="X39" s="224"/>
      <c r="Y39" s="224"/>
      <c r="Z39" s="224"/>
      <c r="AA39" s="489"/>
      <c r="AB39" s="489"/>
      <c r="AC39" s="224"/>
      <c r="AD39" s="224"/>
      <c r="AE39" s="489"/>
    </row>
    <row r="40" spans="1:31" ht="16.2" customHeight="1">
      <c r="C40" s="489"/>
      <c r="D40" s="489"/>
      <c r="E40" s="217"/>
      <c r="F40" s="224"/>
      <c r="G40" s="224"/>
      <c r="H40" s="224"/>
      <c r="I40" s="489"/>
      <c r="J40" s="489"/>
      <c r="K40" s="217"/>
      <c r="L40" s="224"/>
      <c r="M40" s="224"/>
      <c r="N40" s="224"/>
      <c r="O40" s="489"/>
      <c r="P40" s="489"/>
      <c r="Q40" s="224"/>
      <c r="R40" s="224"/>
      <c r="S40" s="224"/>
      <c r="T40" s="224"/>
      <c r="U40" s="489"/>
      <c r="V40" s="489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1:31" ht="16.2" customHeight="1">
      <c r="C41" s="489"/>
      <c r="D41" s="489"/>
      <c r="E41" s="217"/>
      <c r="F41" s="224"/>
      <c r="G41" s="224"/>
      <c r="H41" s="224"/>
      <c r="I41" s="489"/>
      <c r="J41" s="489"/>
      <c r="K41" s="217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1:31" ht="16.2" customHeight="1">
      <c r="C42" s="489"/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489"/>
      <c r="E66" s="217"/>
      <c r="F66" s="224"/>
      <c r="G66" s="224"/>
      <c r="H66" s="224"/>
      <c r="I66" s="489"/>
      <c r="J66" s="489"/>
      <c r="K66" s="217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489"/>
      <c r="E67" s="217"/>
      <c r="F67" s="224"/>
      <c r="G67" s="224"/>
      <c r="H67" s="224"/>
      <c r="I67" s="489"/>
      <c r="J67" s="489"/>
      <c r="K67" s="217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489"/>
      <c r="E68" s="217"/>
      <c r="F68" s="224"/>
      <c r="G68" s="224"/>
      <c r="H68" s="224"/>
      <c r="I68" s="489"/>
      <c r="J68" s="489"/>
      <c r="K68" s="217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489"/>
      <c r="E69" s="217"/>
      <c r="F69" s="224"/>
      <c r="G69" s="224"/>
      <c r="H69" s="224"/>
      <c r="I69" s="489"/>
      <c r="J69" s="489"/>
      <c r="K69" s="217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489"/>
      <c r="E70" s="217"/>
      <c r="F70" s="224"/>
      <c r="G70" s="224"/>
      <c r="H70" s="224"/>
      <c r="I70" s="489"/>
      <c r="J70" s="489"/>
      <c r="K70" s="217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489"/>
      <c r="E71" s="217"/>
      <c r="F71" s="224"/>
      <c r="G71" s="224"/>
      <c r="H71" s="224"/>
      <c r="I71" s="489"/>
      <c r="J71" s="489"/>
      <c r="K71" s="217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489"/>
      <c r="E72" s="217"/>
      <c r="F72" s="224"/>
      <c r="G72" s="224"/>
      <c r="H72" s="224"/>
      <c r="I72" s="489"/>
      <c r="J72" s="489"/>
      <c r="K72" s="217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489"/>
      <c r="E73" s="217"/>
      <c r="F73" s="224"/>
      <c r="G73" s="224"/>
      <c r="H73" s="224"/>
      <c r="I73" s="489"/>
      <c r="J73" s="489"/>
      <c r="K73" s="217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489"/>
      <c r="E74" s="217"/>
      <c r="F74" s="224"/>
      <c r="G74" s="224"/>
      <c r="H74" s="224"/>
      <c r="I74" s="489"/>
      <c r="J74" s="489"/>
      <c r="K74" s="217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489"/>
      <c r="E75" s="217"/>
      <c r="F75" s="224"/>
      <c r="G75" s="224"/>
      <c r="H75" s="224"/>
      <c r="I75" s="489"/>
      <c r="J75" s="489"/>
      <c r="K75" s="217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489"/>
      <c r="E76" s="217"/>
      <c r="F76" s="224"/>
      <c r="G76" s="224"/>
      <c r="H76" s="224"/>
      <c r="I76" s="489"/>
      <c r="J76" s="489"/>
      <c r="K76" s="217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489"/>
      <c r="E77" s="217"/>
      <c r="F77" s="224"/>
      <c r="G77" s="224"/>
      <c r="H77" s="224"/>
      <c r="I77" s="489"/>
      <c r="J77" s="489"/>
      <c r="K77" s="217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489"/>
      <c r="E78" s="217"/>
      <c r="F78" s="224"/>
      <c r="G78" s="224"/>
      <c r="H78" s="224"/>
      <c r="I78" s="489"/>
      <c r="J78" s="489"/>
      <c r="K78" s="217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489"/>
      <c r="E79" s="217"/>
      <c r="F79" s="224"/>
      <c r="G79" s="224"/>
      <c r="H79" s="224"/>
      <c r="I79" s="489"/>
      <c r="J79" s="489"/>
      <c r="K79" s="217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489"/>
      <c r="E80" s="217"/>
      <c r="F80" s="224"/>
      <c r="G80" s="224"/>
      <c r="H80" s="224"/>
      <c r="I80" s="489"/>
      <c r="J80" s="489"/>
      <c r="K80" s="217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489"/>
      <c r="E81" s="217"/>
      <c r="F81" s="224"/>
      <c r="G81" s="224"/>
      <c r="H81" s="224"/>
      <c r="I81" s="489"/>
      <c r="J81" s="489"/>
      <c r="K81" s="217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489"/>
      <c r="E82" s="217"/>
      <c r="F82" s="224"/>
      <c r="G82" s="224"/>
      <c r="H82" s="224"/>
      <c r="I82" s="489"/>
      <c r="J82" s="489"/>
      <c r="K82" s="217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489"/>
      <c r="E83" s="217"/>
      <c r="F83" s="224"/>
      <c r="G83" s="224"/>
      <c r="H83" s="224"/>
      <c r="I83" s="489"/>
      <c r="J83" s="489"/>
      <c r="K83" s="217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489"/>
      <c r="E84" s="217"/>
      <c r="F84" s="224"/>
      <c r="G84" s="224"/>
      <c r="H84" s="224"/>
      <c r="I84" s="489"/>
      <c r="J84" s="489"/>
      <c r="K84" s="217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489"/>
      <c r="E85" s="217"/>
      <c r="F85" s="224"/>
      <c r="G85" s="224"/>
      <c r="H85" s="224"/>
      <c r="I85" s="489"/>
      <c r="J85" s="489"/>
      <c r="K85" s="217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489"/>
      <c r="E86" s="217"/>
      <c r="F86" s="224"/>
      <c r="G86" s="224"/>
      <c r="H86" s="224"/>
      <c r="I86" s="489"/>
      <c r="J86" s="489"/>
      <c r="K86" s="217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489"/>
      <c r="E87" s="217"/>
      <c r="F87" s="224"/>
      <c r="G87" s="224"/>
      <c r="H87" s="224"/>
      <c r="I87" s="489"/>
      <c r="J87" s="489"/>
      <c r="K87" s="217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489"/>
      <c r="E88" s="217"/>
      <c r="F88" s="224"/>
      <c r="G88" s="224"/>
      <c r="H88" s="224"/>
      <c r="I88" s="489"/>
      <c r="J88" s="489"/>
      <c r="K88" s="217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489"/>
      <c r="E89" s="217"/>
      <c r="F89" s="224"/>
      <c r="G89" s="224"/>
      <c r="H89" s="224"/>
      <c r="I89" s="489"/>
      <c r="J89" s="489"/>
      <c r="K89" s="217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489"/>
      <c r="E90" s="217"/>
      <c r="F90" s="224"/>
      <c r="G90" s="224"/>
      <c r="H90" s="224"/>
      <c r="I90" s="489"/>
      <c r="J90" s="489"/>
      <c r="K90" s="217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489"/>
      <c r="E91" s="217"/>
      <c r="F91" s="224"/>
      <c r="G91" s="224"/>
      <c r="H91" s="224"/>
      <c r="I91" s="489"/>
      <c r="J91" s="489"/>
      <c r="K91" s="217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489"/>
      <c r="E92" s="217"/>
      <c r="F92" s="224"/>
      <c r="G92" s="224"/>
      <c r="H92" s="224"/>
      <c r="I92" s="489"/>
      <c r="J92" s="489"/>
      <c r="K92" s="217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489"/>
      <c r="E93" s="217"/>
      <c r="F93" s="224"/>
      <c r="G93" s="224"/>
      <c r="H93" s="224"/>
      <c r="I93" s="489"/>
      <c r="J93" s="489"/>
      <c r="K93" s="217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489"/>
      <c r="E94" s="217"/>
      <c r="F94" s="224"/>
      <c r="G94" s="224"/>
      <c r="H94" s="224"/>
      <c r="I94" s="489"/>
      <c r="J94" s="489"/>
      <c r="K94" s="217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489"/>
      <c r="E95" s="217"/>
      <c r="F95" s="224"/>
      <c r="G95" s="224"/>
      <c r="H95" s="224"/>
      <c r="I95" s="489"/>
      <c r="J95" s="489"/>
      <c r="K95" s="217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489"/>
      <c r="E96" s="217"/>
      <c r="F96" s="224"/>
      <c r="G96" s="224"/>
      <c r="H96" s="224"/>
      <c r="I96" s="489"/>
      <c r="J96" s="489"/>
      <c r="K96" s="217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489"/>
      <c r="E97" s="217"/>
      <c r="F97" s="224"/>
      <c r="G97" s="224"/>
      <c r="H97" s="224"/>
      <c r="I97" s="489"/>
      <c r="J97" s="489"/>
      <c r="K97" s="217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489"/>
      <c r="E98" s="217"/>
      <c r="F98" s="224"/>
      <c r="G98" s="224"/>
      <c r="H98" s="224"/>
      <c r="I98" s="489"/>
      <c r="J98" s="489"/>
      <c r="K98" s="217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</sheetData>
  <sheetProtection formatCells="0"/>
  <mergeCells count="14">
    <mergeCell ref="D7:L8"/>
    <mergeCell ref="W7:X7"/>
    <mergeCell ref="AA10:AD10"/>
    <mergeCell ref="C10:F10"/>
    <mergeCell ref="I10:L10"/>
    <mergeCell ref="O10:R10"/>
    <mergeCell ref="U10:X10"/>
    <mergeCell ref="P7:Q8"/>
    <mergeCell ref="AA7:AE8"/>
    <mergeCell ref="C2:F3"/>
    <mergeCell ref="D5:L6"/>
    <mergeCell ref="W5:X5"/>
    <mergeCell ref="P5:V6"/>
    <mergeCell ref="AA5:AC6"/>
  </mergeCells>
  <phoneticPr fontId="2"/>
  <conditionalFormatting sqref="F13 L13 R13:R14 X13:X15 AD13:AD15 F20:F21 L20:L23 R20 X20:X24 L28:L30 R28:R29 X28:X32 F28:F34">
    <cfRule type="cellIs" dxfId="32" priority="1" operator="greaterThan">
      <formula>D13</formula>
    </cfRule>
  </conditionalFormatting>
  <hyperlinks>
    <hyperlink ref="C2:F3" location="提案表紙!A1" display="大阪府折込資料表" xr:uid="{00000000-0004-0000-0F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&amp;L豊能郡・池田市・箕面市&amp;RP-12/34</oddFooter>
  </headerFooter>
  <ignoredErrors>
    <ignoredError sqref="AE26 AE37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rgb="FFB6D2F5"/>
    <pageSetUpPr fitToPage="1"/>
  </sheetPr>
  <dimension ref="A1:AE113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109375" hidden="1" customWidth="1"/>
    <col min="2" max="2" width="10.109375" hidden="1" customWidth="1"/>
    <col min="3" max="3" width="13.6640625" customWidth="1"/>
    <col min="4" max="4" width="6.77734375" customWidth="1"/>
    <col min="5" max="5" width="3.33203125" style="14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77734375" bestFit="1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561</v>
      </c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317</v>
      </c>
      <c r="E4"/>
      <c r="F4"/>
      <c r="G4"/>
      <c r="H4"/>
      <c r="I4" s="187">
        <v>45717</v>
      </c>
      <c r="J4" s="186" t="s">
        <v>0</v>
      </c>
      <c r="K4" t="s">
        <v>272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314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315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232</v>
      </c>
      <c r="X5" s="822"/>
      <c r="Y5" s="459"/>
      <c r="Z5" s="459"/>
      <c r="AA5" s="840"/>
      <c r="AB5" s="840"/>
      <c r="AC5" s="841"/>
      <c r="AD5" s="6" t="s">
        <v>316</v>
      </c>
      <c r="AE5" s="6" t="s">
        <v>557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313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298</v>
      </c>
      <c r="P7" s="827">
        <f>提案表紙!G9</f>
        <v>0</v>
      </c>
      <c r="Q7" s="828"/>
      <c r="R7" s="7" t="s">
        <v>249</v>
      </c>
      <c r="S7"/>
      <c r="T7"/>
      <c r="U7" s="410">
        <f>吹田市折込部数+茨木市折込部数</f>
        <v>0</v>
      </c>
      <c r="V7" s="8"/>
      <c r="W7" s="821" t="s">
        <v>556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250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309</v>
      </c>
      <c r="D10" s="819"/>
      <c r="E10" s="819"/>
      <c r="F10" s="820"/>
      <c r="G10" s="51">
        <v>1</v>
      </c>
      <c r="H10" s="51">
        <v>3</v>
      </c>
      <c r="I10" s="818" t="s">
        <v>310</v>
      </c>
      <c r="J10" s="819"/>
      <c r="K10" s="819"/>
      <c r="L10" s="820"/>
      <c r="M10" s="51">
        <v>1</v>
      </c>
      <c r="N10" s="51">
        <v>5</v>
      </c>
      <c r="O10" s="818" t="s">
        <v>312</v>
      </c>
      <c r="P10" s="819"/>
      <c r="Q10" s="819"/>
      <c r="R10" s="820"/>
      <c r="S10" s="51">
        <v>1</v>
      </c>
      <c r="T10" s="51">
        <v>4</v>
      </c>
      <c r="U10" s="818" t="s">
        <v>311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307</v>
      </c>
    </row>
    <row r="11" spans="1:31" ht="16.2" customHeight="1">
      <c r="A11" s="51"/>
      <c r="B11" s="51"/>
      <c r="C11" s="503" t="s">
        <v>230</v>
      </c>
      <c r="D11" s="504" t="s">
        <v>304</v>
      </c>
      <c r="E11" s="319" t="s">
        <v>305</v>
      </c>
      <c r="F11" s="505" t="s">
        <v>231</v>
      </c>
      <c r="G11" s="51"/>
      <c r="H11" s="51"/>
      <c r="I11" s="503" t="s">
        <v>230</v>
      </c>
      <c r="J11" s="504" t="s">
        <v>304</v>
      </c>
      <c r="K11" s="319" t="s">
        <v>305</v>
      </c>
      <c r="L11" s="505" t="s">
        <v>231</v>
      </c>
      <c r="M11" s="51"/>
      <c r="N11" s="51"/>
      <c r="O11" s="503" t="s">
        <v>230</v>
      </c>
      <c r="P11" s="504" t="s">
        <v>304</v>
      </c>
      <c r="Q11" s="319" t="s">
        <v>305</v>
      </c>
      <c r="R11" s="505" t="s">
        <v>231</v>
      </c>
      <c r="S11" s="51"/>
      <c r="T11" s="51"/>
      <c r="U11" s="503" t="s">
        <v>230</v>
      </c>
      <c r="V11" s="504" t="s">
        <v>304</v>
      </c>
      <c r="W11" s="319" t="s">
        <v>305</v>
      </c>
      <c r="X11" s="505" t="s">
        <v>231</v>
      </c>
      <c r="Y11" s="51"/>
      <c r="Z11" s="51"/>
      <c r="AA11" s="503" t="s">
        <v>230</v>
      </c>
      <c r="AB11" s="504" t="s">
        <v>304</v>
      </c>
      <c r="AC11" s="319" t="s">
        <v>305</v>
      </c>
      <c r="AD11" s="505" t="s">
        <v>231</v>
      </c>
      <c r="AE11" s="507" t="s">
        <v>308</v>
      </c>
    </row>
    <row r="12" spans="1:31" ht="16.2" customHeight="1">
      <c r="A12" s="51">
        <v>2</v>
      </c>
      <c r="B12" s="488" t="s">
        <v>1413</v>
      </c>
      <c r="C12" s="46" t="s">
        <v>913</v>
      </c>
      <c r="D12" s="12"/>
      <c r="E12" s="19"/>
      <c r="F12" s="223"/>
      <c r="G12" s="51">
        <v>2</v>
      </c>
      <c r="H12" s="488" t="s">
        <v>1413</v>
      </c>
      <c r="I12" s="464"/>
      <c r="J12" s="211"/>
      <c r="K12" s="212"/>
      <c r="L12" s="223"/>
      <c r="M12" s="51">
        <v>2</v>
      </c>
      <c r="N12" s="488" t="s">
        <v>1413</v>
      </c>
      <c r="O12" s="464"/>
      <c r="P12" s="211"/>
      <c r="Q12" s="212"/>
      <c r="R12" s="223"/>
      <c r="S12" s="51">
        <v>2</v>
      </c>
      <c r="T12" s="488" t="s">
        <v>1413</v>
      </c>
      <c r="U12" s="464"/>
      <c r="V12" s="211"/>
      <c r="W12" s="212"/>
      <c r="X12" s="223"/>
      <c r="Y12" s="51">
        <v>2</v>
      </c>
      <c r="Z12" s="488" t="s">
        <v>1413</v>
      </c>
      <c r="AA12" s="464"/>
      <c r="AB12" s="211"/>
      <c r="AC12" s="19"/>
      <c r="AD12" s="16"/>
    </row>
    <row r="13" spans="1:31" ht="16.2" customHeight="1">
      <c r="A13" s="51">
        <v>3</v>
      </c>
      <c r="B13" s="51">
        <v>72167</v>
      </c>
      <c r="C13" s="441" t="s">
        <v>615</v>
      </c>
      <c r="D13" s="148">
        <v>1700</v>
      </c>
      <c r="E13" s="162"/>
      <c r="F13" s="404"/>
      <c r="G13" s="51">
        <v>3</v>
      </c>
      <c r="H13" s="51">
        <v>73179</v>
      </c>
      <c r="I13" s="386" t="s">
        <v>614</v>
      </c>
      <c r="J13" s="143">
        <v>600</v>
      </c>
      <c r="K13" s="146"/>
      <c r="L13" s="404"/>
      <c r="M13" s="51">
        <v>3</v>
      </c>
      <c r="N13" s="51">
        <v>75173</v>
      </c>
      <c r="O13" s="441" t="s">
        <v>614</v>
      </c>
      <c r="P13" s="148">
        <v>1800</v>
      </c>
      <c r="Q13" s="162"/>
      <c r="R13" s="404"/>
      <c r="S13" s="51">
        <v>3</v>
      </c>
      <c r="T13" s="51">
        <v>74213</v>
      </c>
      <c r="U13" s="441" t="s">
        <v>614</v>
      </c>
      <c r="V13" s="148">
        <v>2200</v>
      </c>
      <c r="W13" s="162"/>
      <c r="X13" s="404"/>
      <c r="Y13" s="51">
        <v>3</v>
      </c>
      <c r="Z13" s="51"/>
      <c r="AA13" s="512"/>
      <c r="AB13" s="139"/>
      <c r="AC13" s="146"/>
      <c r="AD13" s="129"/>
      <c r="AE13" s="704"/>
    </row>
    <row r="14" spans="1:31" ht="16.2" customHeight="1">
      <c r="A14" s="51">
        <v>3</v>
      </c>
      <c r="B14" s="51">
        <v>72169</v>
      </c>
      <c r="C14" s="386" t="s">
        <v>614</v>
      </c>
      <c r="D14" s="143">
        <v>1650</v>
      </c>
      <c r="E14" s="146"/>
      <c r="F14" s="405"/>
      <c r="G14" s="51">
        <v>3</v>
      </c>
      <c r="H14" s="51">
        <v>73178</v>
      </c>
      <c r="I14" s="386" t="s">
        <v>1528</v>
      </c>
      <c r="J14" s="143">
        <v>800</v>
      </c>
      <c r="K14" s="137"/>
      <c r="L14" s="405"/>
      <c r="M14" s="51">
        <v>3</v>
      </c>
      <c r="N14" s="51">
        <v>75175</v>
      </c>
      <c r="O14" s="386" t="s">
        <v>620</v>
      </c>
      <c r="P14" s="143">
        <v>1050</v>
      </c>
      <c r="Q14" s="146"/>
      <c r="R14" s="405"/>
      <c r="S14" s="51">
        <v>3</v>
      </c>
      <c r="T14" s="51">
        <v>74215</v>
      </c>
      <c r="U14" s="386" t="s">
        <v>624</v>
      </c>
      <c r="V14" s="143">
        <v>1000</v>
      </c>
      <c r="W14" s="146"/>
      <c r="X14" s="405"/>
      <c r="Y14" s="51">
        <v>3</v>
      </c>
      <c r="Z14" s="51"/>
      <c r="AA14" s="512"/>
      <c r="AB14" s="139"/>
      <c r="AC14" s="146"/>
      <c r="AD14" s="132"/>
      <c r="AE14" s="719"/>
    </row>
    <row r="15" spans="1:31" ht="16.2" customHeight="1">
      <c r="A15" s="51">
        <v>3</v>
      </c>
      <c r="B15" s="51">
        <v>72171</v>
      </c>
      <c r="C15" s="386" t="s">
        <v>1103</v>
      </c>
      <c r="D15" s="143">
        <v>600</v>
      </c>
      <c r="E15" s="146"/>
      <c r="F15" s="405"/>
      <c r="G15" s="51">
        <v>3</v>
      </c>
      <c r="H15" s="51">
        <v>73180</v>
      </c>
      <c r="I15" s="386" t="s">
        <v>1529</v>
      </c>
      <c r="J15" s="143">
        <v>500</v>
      </c>
      <c r="K15" s="137"/>
      <c r="L15" s="405"/>
      <c r="M15" s="51">
        <v>3</v>
      </c>
      <c r="N15" s="51">
        <v>75179</v>
      </c>
      <c r="O15" s="386" t="s">
        <v>1076</v>
      </c>
      <c r="P15" s="143">
        <v>1000</v>
      </c>
      <c r="Q15" s="146"/>
      <c r="R15" s="405"/>
      <c r="S15" s="51">
        <v>3</v>
      </c>
      <c r="T15" s="51">
        <v>74217</v>
      </c>
      <c r="U15" s="386" t="s">
        <v>616</v>
      </c>
      <c r="V15" s="143">
        <v>1900</v>
      </c>
      <c r="W15" s="146"/>
      <c r="X15" s="405"/>
      <c r="Y15" s="51">
        <v>3</v>
      </c>
      <c r="Z15" s="51"/>
      <c r="AA15" s="512"/>
      <c r="AB15" s="218"/>
      <c r="AC15" s="146"/>
      <c r="AD15" s="132"/>
      <c r="AE15" s="516"/>
    </row>
    <row r="16" spans="1:31" ht="16.2" customHeight="1">
      <c r="A16" s="51">
        <v>3</v>
      </c>
      <c r="B16" s="51">
        <v>72172</v>
      </c>
      <c r="C16" s="386" t="s">
        <v>1274</v>
      </c>
      <c r="D16" s="143">
        <v>1050</v>
      </c>
      <c r="E16" s="146"/>
      <c r="F16" s="405"/>
      <c r="G16" s="51">
        <v>3</v>
      </c>
      <c r="H16" s="51">
        <v>73181</v>
      </c>
      <c r="I16" s="386" t="s">
        <v>1103</v>
      </c>
      <c r="J16" s="143">
        <v>1200</v>
      </c>
      <c r="K16" s="146"/>
      <c r="L16" s="405"/>
      <c r="M16" s="51">
        <v>3</v>
      </c>
      <c r="N16" s="51">
        <v>75183</v>
      </c>
      <c r="O16" s="386" t="s">
        <v>621</v>
      </c>
      <c r="P16" s="143">
        <v>350</v>
      </c>
      <c r="Q16" s="146"/>
      <c r="R16" s="405"/>
      <c r="S16" s="51">
        <v>3</v>
      </c>
      <c r="T16" s="51">
        <v>74219</v>
      </c>
      <c r="U16" s="386" t="s">
        <v>619</v>
      </c>
      <c r="V16" s="143">
        <v>2350</v>
      </c>
      <c r="W16" s="146"/>
      <c r="X16" s="405"/>
      <c r="Y16" s="51">
        <v>3</v>
      </c>
      <c r="Z16" s="51"/>
      <c r="AA16" s="512"/>
      <c r="AB16" s="139"/>
      <c r="AC16" s="146"/>
      <c r="AD16" s="132"/>
      <c r="AE16" s="516"/>
    </row>
    <row r="17" spans="1:31" ht="16.2" customHeight="1">
      <c r="A17" s="51">
        <v>3</v>
      </c>
      <c r="B17" s="51">
        <v>72175</v>
      </c>
      <c r="C17" s="386" t="s">
        <v>1114</v>
      </c>
      <c r="D17" s="143">
        <v>4450</v>
      </c>
      <c r="E17" s="146"/>
      <c r="F17" s="405"/>
      <c r="G17" s="51">
        <v>3</v>
      </c>
      <c r="H17" s="51">
        <v>73185</v>
      </c>
      <c r="I17" s="386" t="s">
        <v>619</v>
      </c>
      <c r="J17" s="143">
        <v>3900</v>
      </c>
      <c r="K17" s="146"/>
      <c r="L17" s="405"/>
      <c r="M17" s="51">
        <v>3</v>
      </c>
      <c r="N17" s="51">
        <v>75185</v>
      </c>
      <c r="O17" s="386" t="s">
        <v>618</v>
      </c>
      <c r="P17" s="143">
        <v>600</v>
      </c>
      <c r="Q17" s="137"/>
      <c r="R17" s="405"/>
      <c r="S17" s="51">
        <v>3</v>
      </c>
      <c r="T17" s="51">
        <v>74221</v>
      </c>
      <c r="U17" s="386" t="s">
        <v>625</v>
      </c>
      <c r="V17" s="143">
        <v>2550</v>
      </c>
      <c r="W17" s="146"/>
      <c r="X17" s="405"/>
      <c r="Y17" s="51">
        <v>3</v>
      </c>
      <c r="Z17" s="51"/>
      <c r="AA17" s="512"/>
      <c r="AB17" s="139"/>
      <c r="AC17" s="137"/>
      <c r="AD17" s="132"/>
      <c r="AE17" s="516"/>
    </row>
    <row r="18" spans="1:31" ht="16.2" customHeight="1">
      <c r="A18" s="51">
        <v>3</v>
      </c>
      <c r="B18" s="51">
        <v>72177</v>
      </c>
      <c r="C18" s="386" t="s">
        <v>1115</v>
      </c>
      <c r="D18" s="143">
        <v>3450</v>
      </c>
      <c r="E18" s="146"/>
      <c r="F18" s="405"/>
      <c r="G18" s="51">
        <v>3</v>
      </c>
      <c r="H18" s="51">
        <v>73187</v>
      </c>
      <c r="I18" s="386" t="s">
        <v>617</v>
      </c>
      <c r="J18" s="143">
        <v>3900</v>
      </c>
      <c r="K18" s="146"/>
      <c r="L18" s="405"/>
      <c r="M18" s="51">
        <v>3</v>
      </c>
      <c r="N18" s="51">
        <v>75189</v>
      </c>
      <c r="O18" s="386" t="s">
        <v>622</v>
      </c>
      <c r="P18" s="143">
        <v>750</v>
      </c>
      <c r="Q18" s="137"/>
      <c r="R18" s="405"/>
      <c r="S18" s="51">
        <v>3</v>
      </c>
      <c r="T18" s="51">
        <v>74223</v>
      </c>
      <c r="U18" s="386" t="s">
        <v>627</v>
      </c>
      <c r="V18" s="143">
        <v>1400</v>
      </c>
      <c r="W18" s="146"/>
      <c r="X18" s="405"/>
      <c r="Y18" s="51">
        <v>3</v>
      </c>
      <c r="Z18" s="51"/>
      <c r="AA18" s="512"/>
      <c r="AB18" s="139"/>
      <c r="AC18" s="137"/>
      <c r="AD18" s="132"/>
      <c r="AE18" s="516"/>
    </row>
    <row r="19" spans="1:31" ht="16.2" customHeight="1">
      <c r="A19" s="51">
        <v>3</v>
      </c>
      <c r="B19" s="51">
        <v>72179</v>
      </c>
      <c r="C19" s="386" t="s">
        <v>1116</v>
      </c>
      <c r="D19" s="143">
        <v>2300</v>
      </c>
      <c r="E19" s="146"/>
      <c r="F19" s="405"/>
      <c r="G19" s="51">
        <v>3</v>
      </c>
      <c r="H19" s="51"/>
      <c r="I19" s="439"/>
      <c r="J19" s="754"/>
      <c r="K19" s="137"/>
      <c r="L19" s="405"/>
      <c r="M19" s="51">
        <v>3</v>
      </c>
      <c r="N19" s="51">
        <v>75191</v>
      </c>
      <c r="O19" s="386" t="s">
        <v>616</v>
      </c>
      <c r="P19" s="143">
        <v>750</v>
      </c>
      <c r="Q19" s="137"/>
      <c r="R19" s="405"/>
      <c r="S19" s="51">
        <v>3</v>
      </c>
      <c r="T19" s="51">
        <v>74227</v>
      </c>
      <c r="U19" s="386" t="s">
        <v>622</v>
      </c>
      <c r="V19" s="143">
        <v>2350</v>
      </c>
      <c r="W19" s="146"/>
      <c r="X19" s="405"/>
      <c r="Y19" s="51">
        <v>3</v>
      </c>
      <c r="Z19" s="51"/>
      <c r="AA19" s="512"/>
      <c r="AB19" s="139"/>
      <c r="AC19" s="137"/>
      <c r="AD19" s="132"/>
      <c r="AE19" s="516"/>
    </row>
    <row r="20" spans="1:31" ht="16.2" customHeight="1">
      <c r="A20" s="51">
        <v>3</v>
      </c>
      <c r="B20" s="51">
        <v>72181</v>
      </c>
      <c r="C20" s="386" t="s">
        <v>625</v>
      </c>
      <c r="D20" s="143">
        <v>1150</v>
      </c>
      <c r="E20" s="146"/>
      <c r="F20" s="405"/>
      <c r="G20" s="51">
        <v>3</v>
      </c>
      <c r="H20" s="51"/>
      <c r="I20" s="386"/>
      <c r="J20" s="143"/>
      <c r="K20" s="146"/>
      <c r="L20" s="405"/>
      <c r="M20" s="51">
        <v>3</v>
      </c>
      <c r="N20" s="51">
        <v>75193</v>
      </c>
      <c r="O20" s="386" t="s">
        <v>623</v>
      </c>
      <c r="P20" s="143">
        <v>850</v>
      </c>
      <c r="Q20" s="137"/>
      <c r="R20" s="405"/>
      <c r="S20" s="51">
        <v>3</v>
      </c>
      <c r="T20" s="51">
        <v>74229</v>
      </c>
      <c r="U20" s="386" t="s">
        <v>1557</v>
      </c>
      <c r="V20" s="143">
        <v>2050</v>
      </c>
      <c r="W20" s="146"/>
      <c r="X20" s="405"/>
      <c r="Y20" s="51">
        <v>3</v>
      </c>
      <c r="Z20" s="51"/>
      <c r="AA20" s="512"/>
      <c r="AB20" s="139"/>
      <c r="AC20" s="137"/>
      <c r="AD20" s="132"/>
      <c r="AE20" s="516"/>
    </row>
    <row r="21" spans="1:31" ht="15.75" customHeight="1">
      <c r="A21" s="51">
        <v>3</v>
      </c>
      <c r="B21" s="51">
        <v>72183</v>
      </c>
      <c r="C21" s="386" t="s">
        <v>627</v>
      </c>
      <c r="D21" s="143">
        <v>2300</v>
      </c>
      <c r="E21" s="137"/>
      <c r="F21" s="405"/>
      <c r="G21" s="51">
        <v>3</v>
      </c>
      <c r="H21" s="51"/>
      <c r="I21" s="386"/>
      <c r="J21" s="143"/>
      <c r="K21" s="146"/>
      <c r="L21" s="405"/>
      <c r="M21" s="51">
        <v>3</v>
      </c>
      <c r="N21" s="51">
        <v>75192</v>
      </c>
      <c r="O21" s="386" t="s">
        <v>619</v>
      </c>
      <c r="P21" s="143">
        <v>450</v>
      </c>
      <c r="Q21" s="137"/>
      <c r="R21" s="405"/>
      <c r="S21" s="51">
        <v>3</v>
      </c>
      <c r="T21" s="51">
        <v>74231</v>
      </c>
      <c r="U21" s="386" t="s">
        <v>443</v>
      </c>
      <c r="V21" s="143">
        <v>1450</v>
      </c>
      <c r="W21" s="146"/>
      <c r="X21" s="405"/>
      <c r="Y21" s="51">
        <v>3</v>
      </c>
      <c r="Z21" s="51"/>
      <c r="AA21" s="512"/>
      <c r="AB21" s="139"/>
      <c r="AC21" s="137"/>
      <c r="AD21" s="132"/>
      <c r="AE21" s="516"/>
    </row>
    <row r="22" spans="1:31" ht="16.2" customHeight="1">
      <c r="A22" s="51">
        <v>3</v>
      </c>
      <c r="B22" s="51">
        <v>72185</v>
      </c>
      <c r="C22" s="386" t="s">
        <v>1353</v>
      </c>
      <c r="D22" s="143">
        <v>2200</v>
      </c>
      <c r="E22" s="137"/>
      <c r="F22" s="405"/>
      <c r="G22" s="51">
        <v>3</v>
      </c>
      <c r="H22" s="51"/>
      <c r="I22" s="512"/>
      <c r="J22" s="139"/>
      <c r="K22" s="137"/>
      <c r="L22" s="132"/>
      <c r="M22" s="51">
        <v>3</v>
      </c>
      <c r="N22" s="51">
        <v>75194</v>
      </c>
      <c r="O22" s="386" t="s">
        <v>1535</v>
      </c>
      <c r="P22" s="143">
        <v>300</v>
      </c>
      <c r="Q22" s="137"/>
      <c r="R22" s="405"/>
      <c r="S22" s="51">
        <v>3</v>
      </c>
      <c r="T22" s="51">
        <v>74233</v>
      </c>
      <c r="U22" s="386" t="s">
        <v>1320</v>
      </c>
      <c r="V22" s="143">
        <v>1050</v>
      </c>
      <c r="W22" s="146"/>
      <c r="X22" s="405"/>
      <c r="Y22" s="51">
        <v>3</v>
      </c>
      <c r="Z22" s="51"/>
      <c r="AA22" s="512"/>
      <c r="AB22" s="139"/>
      <c r="AC22" s="137"/>
      <c r="AD22" s="132"/>
      <c r="AE22" s="516"/>
    </row>
    <row r="23" spans="1:31" ht="16.2" customHeight="1" thickBot="1">
      <c r="A23" s="51">
        <v>3</v>
      </c>
      <c r="B23" s="51"/>
      <c r="C23" s="520"/>
      <c r="D23" s="208"/>
      <c r="E23" s="138"/>
      <c r="F23" s="133"/>
      <c r="G23" s="51">
        <v>3</v>
      </c>
      <c r="H23" s="51"/>
      <c r="I23" s="520"/>
      <c r="J23" s="208"/>
      <c r="K23" s="138"/>
      <c r="L23" s="133"/>
      <c r="M23" s="51">
        <v>3</v>
      </c>
      <c r="N23" s="51"/>
      <c r="O23" s="520"/>
      <c r="P23" s="208"/>
      <c r="Q23" s="138"/>
      <c r="R23" s="164"/>
      <c r="S23" s="51">
        <v>3</v>
      </c>
      <c r="T23" s="51"/>
      <c r="U23" s="520"/>
      <c r="V23" s="208"/>
      <c r="W23" s="138"/>
      <c r="X23" s="133"/>
      <c r="Y23" s="51">
        <v>3</v>
      </c>
      <c r="Z23" s="51"/>
      <c r="AA23" s="520"/>
      <c r="AB23" s="208"/>
      <c r="AC23" s="138"/>
      <c r="AD23" s="133"/>
      <c r="AE23" s="516"/>
    </row>
    <row r="24" spans="1:31" ht="16.2" customHeight="1" thickTop="1">
      <c r="A24" s="51">
        <v>4</v>
      </c>
      <c r="B24" s="51"/>
      <c r="C24" s="523" t="s">
        <v>271</v>
      </c>
      <c r="D24" s="535">
        <f xml:space="preserve"> SUM(D13:D23)</f>
        <v>20850</v>
      </c>
      <c r="E24" s="25"/>
      <c r="F24" s="75">
        <f>SUM(F13:F23)</f>
        <v>0</v>
      </c>
      <c r="G24" s="51">
        <v>4</v>
      </c>
      <c r="H24" s="51"/>
      <c r="I24" s="523" t="s">
        <v>271</v>
      </c>
      <c r="J24" s="535">
        <f xml:space="preserve"> SUM(J13:J23)</f>
        <v>10900</v>
      </c>
      <c r="K24" s="28"/>
      <c r="L24" s="75">
        <f>SUM(L13:L23)</f>
        <v>0</v>
      </c>
      <c r="M24" s="51">
        <v>4</v>
      </c>
      <c r="N24" s="51"/>
      <c r="O24" s="523" t="s">
        <v>271</v>
      </c>
      <c r="P24" s="535">
        <f xml:space="preserve"> SUM(P13:P23)</f>
        <v>7900</v>
      </c>
      <c r="Q24" s="28"/>
      <c r="R24" s="75">
        <f>SUM(R13:R23)</f>
        <v>0</v>
      </c>
      <c r="S24" s="51">
        <v>4</v>
      </c>
      <c r="T24" s="51"/>
      <c r="U24" s="523" t="s">
        <v>271</v>
      </c>
      <c r="V24" s="27">
        <f xml:space="preserve"> SUM(V13:V23)</f>
        <v>18300</v>
      </c>
      <c r="W24" s="28"/>
      <c r="X24" s="75">
        <f>SUM(X13:X23)</f>
        <v>0</v>
      </c>
      <c r="Y24" s="51">
        <v>4</v>
      </c>
      <c r="Z24" s="51"/>
      <c r="AA24" s="523" t="s">
        <v>692</v>
      </c>
      <c r="AB24" s="27">
        <f xml:space="preserve"> SUM(AB13:AB23)</f>
        <v>0</v>
      </c>
      <c r="AC24" s="28"/>
      <c r="AD24" s="75">
        <f>SUM(AD13:AD23)</f>
        <v>0</v>
      </c>
      <c r="AE24" s="524">
        <f>D24+J24+P24+V24+AB24</f>
        <v>57950</v>
      </c>
    </row>
    <row r="25" spans="1:31" ht="16.2" customHeight="1">
      <c r="A25" s="51"/>
      <c r="B25" s="51"/>
      <c r="E25"/>
      <c r="F25"/>
      <c r="G25" s="51"/>
      <c r="H25" s="51"/>
      <c r="K25"/>
      <c r="L25"/>
      <c r="M25" s="51"/>
      <c r="N25" s="51"/>
      <c r="Q25"/>
      <c r="R25"/>
      <c r="S25" s="51"/>
      <c r="T25" s="51"/>
      <c r="W25"/>
      <c r="X25"/>
      <c r="Y25" s="51"/>
      <c r="Z25" s="51"/>
      <c r="AC25"/>
      <c r="AD25" s="527" t="s">
        <v>412</v>
      </c>
      <c r="AE25" s="93">
        <f>A吹田市折込部数+M吹田市折込部数+S吹田市折込部数+Y吹田市折込部数+AD24</f>
        <v>0</v>
      </c>
    </row>
    <row r="26" spans="1:31" ht="16.2" customHeight="1">
      <c r="A26" s="51">
        <v>2</v>
      </c>
      <c r="B26" s="488" t="s">
        <v>1414</v>
      </c>
      <c r="C26" s="46" t="s">
        <v>628</v>
      </c>
      <c r="D26" s="12"/>
      <c r="E26" s="19"/>
      <c r="F26" s="223"/>
      <c r="G26" s="51">
        <v>2</v>
      </c>
      <c r="H26" s="488" t="s">
        <v>1414</v>
      </c>
      <c r="I26" s="464"/>
      <c r="J26" s="211"/>
      <c r="K26" s="212"/>
      <c r="L26" s="223"/>
      <c r="M26" s="51">
        <v>2</v>
      </c>
      <c r="N26" s="488" t="s">
        <v>1414</v>
      </c>
      <c r="O26" s="464"/>
      <c r="P26" s="211"/>
      <c r="Q26" s="212"/>
      <c r="R26" s="223"/>
      <c r="S26" s="51">
        <v>2</v>
      </c>
      <c r="T26" s="488" t="s">
        <v>1414</v>
      </c>
      <c r="U26" s="464"/>
      <c r="V26" s="211"/>
      <c r="W26" s="212"/>
      <c r="X26" s="223"/>
      <c r="Y26" s="51">
        <v>2</v>
      </c>
      <c r="Z26" s="488" t="s">
        <v>1414</v>
      </c>
      <c r="AA26" s="464"/>
      <c r="AB26" s="211"/>
      <c r="AC26" s="19"/>
      <c r="AD26" s="721"/>
      <c r="AE26" s="275"/>
    </row>
    <row r="27" spans="1:31" ht="16.2" customHeight="1">
      <c r="A27" s="51">
        <v>3</v>
      </c>
      <c r="B27" s="51">
        <v>72187</v>
      </c>
      <c r="C27" s="690" t="s">
        <v>630</v>
      </c>
      <c r="D27" s="353">
        <v>2650</v>
      </c>
      <c r="E27" s="162"/>
      <c r="F27" s="404"/>
      <c r="G27" s="51">
        <v>3</v>
      </c>
      <c r="H27" s="51">
        <v>73189</v>
      </c>
      <c r="I27" s="386" t="s">
        <v>641</v>
      </c>
      <c r="J27" s="143">
        <v>2850</v>
      </c>
      <c r="K27" s="146"/>
      <c r="L27" s="404"/>
      <c r="M27" s="51">
        <v>3</v>
      </c>
      <c r="N27" s="51">
        <v>75195</v>
      </c>
      <c r="O27" s="441" t="s">
        <v>634</v>
      </c>
      <c r="P27" s="148">
        <v>1200</v>
      </c>
      <c r="Q27" s="162"/>
      <c r="R27" s="404"/>
      <c r="S27" s="51">
        <v>3</v>
      </c>
      <c r="T27" s="51">
        <v>74235</v>
      </c>
      <c r="U27" s="441" t="s">
        <v>198</v>
      </c>
      <c r="V27" s="356">
        <v>2950</v>
      </c>
      <c r="W27" s="162"/>
      <c r="X27" s="404"/>
      <c r="Y27" s="51">
        <v>3</v>
      </c>
      <c r="Z27" s="51"/>
      <c r="AA27" s="512"/>
      <c r="AB27" s="139"/>
      <c r="AC27" s="146"/>
      <c r="AD27" s="129"/>
      <c r="AE27" s="704"/>
    </row>
    <row r="28" spans="1:31" ht="16.2" customHeight="1">
      <c r="A28" s="51">
        <v>3</v>
      </c>
      <c r="B28" s="51">
        <v>72191</v>
      </c>
      <c r="C28" s="386" t="s">
        <v>632</v>
      </c>
      <c r="D28" s="143">
        <v>3600</v>
      </c>
      <c r="E28" s="146"/>
      <c r="F28" s="405"/>
      <c r="G28" s="51">
        <v>3</v>
      </c>
      <c r="H28" s="51">
        <v>73191</v>
      </c>
      <c r="I28" s="386" t="s">
        <v>1107</v>
      </c>
      <c r="J28" s="143">
        <v>1350</v>
      </c>
      <c r="K28" s="146"/>
      <c r="L28" s="405"/>
      <c r="M28" s="51">
        <v>3</v>
      </c>
      <c r="N28" s="51">
        <v>75197</v>
      </c>
      <c r="O28" s="386" t="s">
        <v>631</v>
      </c>
      <c r="P28" s="143">
        <v>850</v>
      </c>
      <c r="Q28" s="146"/>
      <c r="R28" s="405"/>
      <c r="S28" s="51">
        <v>3</v>
      </c>
      <c r="T28" s="51">
        <v>74237</v>
      </c>
      <c r="U28" s="386" t="s">
        <v>635</v>
      </c>
      <c r="V28" s="357">
        <v>2300</v>
      </c>
      <c r="W28" s="146"/>
      <c r="X28" s="405"/>
      <c r="Y28" s="51">
        <v>3</v>
      </c>
      <c r="Z28" s="51"/>
      <c r="AA28" s="512"/>
      <c r="AB28" s="139"/>
      <c r="AC28" s="146"/>
      <c r="AD28" s="132"/>
      <c r="AE28" s="719"/>
    </row>
    <row r="29" spans="1:31" ht="16.2" customHeight="1">
      <c r="A29" s="51">
        <v>3</v>
      </c>
      <c r="B29" s="51">
        <v>72193</v>
      </c>
      <c r="C29" s="386" t="s">
        <v>1378</v>
      </c>
      <c r="D29" s="143">
        <v>2300</v>
      </c>
      <c r="E29" s="146"/>
      <c r="F29" s="405"/>
      <c r="G29" s="51">
        <v>3</v>
      </c>
      <c r="H29" s="51">
        <v>73193</v>
      </c>
      <c r="I29" s="386" t="s">
        <v>631</v>
      </c>
      <c r="J29" s="143">
        <v>3400</v>
      </c>
      <c r="K29" s="146"/>
      <c r="L29" s="405"/>
      <c r="M29" s="51">
        <v>3</v>
      </c>
      <c r="N29" s="51">
        <v>75199</v>
      </c>
      <c r="O29" s="386" t="s">
        <v>1564</v>
      </c>
      <c r="P29" s="143">
        <v>1250</v>
      </c>
      <c r="Q29" s="146"/>
      <c r="R29" s="405"/>
      <c r="S29" s="51">
        <v>3</v>
      </c>
      <c r="T29" s="51">
        <v>74239</v>
      </c>
      <c r="U29" s="386" t="s">
        <v>1291</v>
      </c>
      <c r="V29" s="357">
        <v>1100</v>
      </c>
      <c r="W29" s="146"/>
      <c r="X29" s="405"/>
      <c r="Y29" s="51">
        <v>3</v>
      </c>
      <c r="Z29" s="51"/>
      <c r="AA29" s="512"/>
      <c r="AB29" s="218"/>
      <c r="AC29" s="146"/>
      <c r="AD29" s="132"/>
      <c r="AE29" s="516"/>
    </row>
    <row r="30" spans="1:31" ht="16.2" customHeight="1">
      <c r="A30" s="51">
        <v>3</v>
      </c>
      <c r="B30" s="51">
        <v>72195</v>
      </c>
      <c r="C30" s="386" t="s">
        <v>633</v>
      </c>
      <c r="D30" s="143">
        <v>1850</v>
      </c>
      <c r="E30" s="146"/>
      <c r="F30" s="405"/>
      <c r="G30" s="51">
        <v>3</v>
      </c>
      <c r="H30" s="51">
        <v>73195</v>
      </c>
      <c r="I30" s="386" t="s">
        <v>636</v>
      </c>
      <c r="J30" s="143">
        <v>1800</v>
      </c>
      <c r="K30" s="146"/>
      <c r="L30" s="405"/>
      <c r="M30" s="51">
        <v>3</v>
      </c>
      <c r="N30" s="51">
        <v>75201</v>
      </c>
      <c r="O30" s="386" t="s">
        <v>639</v>
      </c>
      <c r="P30" s="143">
        <v>1950</v>
      </c>
      <c r="Q30" s="146"/>
      <c r="R30" s="405"/>
      <c r="S30" s="51">
        <v>3</v>
      </c>
      <c r="T30" s="51">
        <v>74241</v>
      </c>
      <c r="U30" s="386" t="s">
        <v>640</v>
      </c>
      <c r="V30" s="357">
        <v>1500</v>
      </c>
      <c r="W30" s="146"/>
      <c r="X30" s="405"/>
      <c r="Y30" s="51">
        <v>3</v>
      </c>
      <c r="Z30" s="51"/>
      <c r="AA30" s="512"/>
      <c r="AB30" s="139"/>
      <c r="AC30" s="146"/>
      <c r="AD30" s="132"/>
      <c r="AE30" s="516"/>
    </row>
    <row r="31" spans="1:31" ht="16.2" customHeight="1">
      <c r="A31" s="51">
        <v>3</v>
      </c>
      <c r="B31" s="51"/>
      <c r="C31" s="386"/>
      <c r="D31" s="143"/>
      <c r="E31" s="146"/>
      <c r="F31" s="405"/>
      <c r="G31" s="51">
        <v>3</v>
      </c>
      <c r="H31" s="51">
        <v>73197</v>
      </c>
      <c r="I31" s="386" t="s">
        <v>632</v>
      </c>
      <c r="J31" s="143">
        <v>2000</v>
      </c>
      <c r="K31" s="146"/>
      <c r="L31" s="405"/>
      <c r="M31" s="51">
        <v>3</v>
      </c>
      <c r="N31" s="51">
        <v>75203</v>
      </c>
      <c r="O31" s="386" t="s">
        <v>1288</v>
      </c>
      <c r="P31" s="143">
        <v>600</v>
      </c>
      <c r="Q31" s="137"/>
      <c r="R31" s="405"/>
      <c r="S31" s="51">
        <v>3</v>
      </c>
      <c r="T31" s="51">
        <v>74243</v>
      </c>
      <c r="U31" s="386" t="s">
        <v>641</v>
      </c>
      <c r="V31" s="357">
        <v>2800</v>
      </c>
      <c r="W31" s="146"/>
      <c r="X31" s="405"/>
      <c r="Y31" s="51">
        <v>3</v>
      </c>
      <c r="Z31" s="51"/>
      <c r="AA31" s="512"/>
      <c r="AB31" s="139"/>
      <c r="AC31" s="137"/>
      <c r="AD31" s="132"/>
      <c r="AE31" s="516"/>
    </row>
    <row r="32" spans="1:31" ht="16.2" customHeight="1">
      <c r="A32" s="51">
        <v>3</v>
      </c>
      <c r="B32" s="51"/>
      <c r="C32" s="386"/>
      <c r="D32" s="143"/>
      <c r="E32" s="146"/>
      <c r="F32" s="405"/>
      <c r="G32" s="51">
        <v>3</v>
      </c>
      <c r="H32" s="51"/>
      <c r="I32" s="512"/>
      <c r="J32" s="139"/>
      <c r="K32" s="146"/>
      <c r="L32" s="132"/>
      <c r="M32" s="51">
        <v>3</v>
      </c>
      <c r="N32" s="51"/>
      <c r="O32" s="512"/>
      <c r="P32" s="139"/>
      <c r="Q32" s="137"/>
      <c r="R32" s="163"/>
      <c r="S32" s="51">
        <v>3</v>
      </c>
      <c r="T32" s="51">
        <v>74245</v>
      </c>
      <c r="U32" s="386" t="s">
        <v>632</v>
      </c>
      <c r="V32" s="357">
        <v>1350</v>
      </c>
      <c r="W32" s="146"/>
      <c r="X32" s="405"/>
      <c r="Y32" s="51">
        <v>3</v>
      </c>
      <c r="Z32" s="51"/>
      <c r="AA32" s="512"/>
      <c r="AB32" s="139"/>
      <c r="AC32" s="137"/>
      <c r="AD32" s="132"/>
      <c r="AE32" s="516"/>
    </row>
    <row r="33" spans="1:31" ht="16.2" customHeight="1">
      <c r="A33" s="51">
        <v>3</v>
      </c>
      <c r="B33" s="51"/>
      <c r="C33" s="512"/>
      <c r="D33" s="139"/>
      <c r="E33" s="146"/>
      <c r="F33" s="405"/>
      <c r="G33" s="51">
        <v>3</v>
      </c>
      <c r="H33" s="51"/>
      <c r="I33" s="512"/>
      <c r="J33" s="139"/>
      <c r="K33" s="137"/>
      <c r="L33" s="132"/>
      <c r="M33" s="51">
        <v>3</v>
      </c>
      <c r="N33" s="51"/>
      <c r="O33" s="512"/>
      <c r="P33" s="139"/>
      <c r="Q33" s="137"/>
      <c r="R33" s="163"/>
      <c r="S33" s="51">
        <v>3</v>
      </c>
      <c r="T33" s="51">
        <v>74249</v>
      </c>
      <c r="U33" s="386" t="s">
        <v>882</v>
      </c>
      <c r="V33" s="357">
        <v>1050</v>
      </c>
      <c r="W33" s="146"/>
      <c r="X33" s="405"/>
      <c r="Y33" s="51">
        <v>3</v>
      </c>
      <c r="Z33" s="51"/>
      <c r="AA33" s="512"/>
      <c r="AB33" s="139"/>
      <c r="AC33" s="137"/>
      <c r="AD33" s="132"/>
      <c r="AE33" s="516"/>
    </row>
    <row r="34" spans="1:31" ht="16.2" customHeight="1">
      <c r="A34" s="51">
        <v>3</v>
      </c>
      <c r="B34" s="51"/>
      <c r="C34" s="512"/>
      <c r="D34" s="139"/>
      <c r="E34" s="137"/>
      <c r="F34" s="132"/>
      <c r="G34" s="51">
        <v>3</v>
      </c>
      <c r="H34" s="51"/>
      <c r="I34" s="512"/>
      <c r="J34" s="139"/>
      <c r="K34" s="137"/>
      <c r="L34" s="132"/>
      <c r="M34" s="51">
        <v>3</v>
      </c>
      <c r="N34" s="51"/>
      <c r="O34" s="512"/>
      <c r="P34" s="139"/>
      <c r="Q34" s="137"/>
      <c r="R34" s="163"/>
      <c r="S34" s="51">
        <v>3</v>
      </c>
      <c r="T34" s="51"/>
      <c r="U34" s="512"/>
      <c r="V34" s="313"/>
      <c r="W34" s="137"/>
      <c r="X34" s="132"/>
      <c r="Y34" s="51">
        <v>3</v>
      </c>
      <c r="Z34" s="51"/>
      <c r="AA34" s="512"/>
      <c r="AB34" s="139"/>
      <c r="AC34" s="137"/>
      <c r="AD34" s="132"/>
      <c r="AE34" s="516"/>
    </row>
    <row r="35" spans="1:31" ht="16.2" customHeight="1" thickBot="1">
      <c r="A35" s="51">
        <v>3</v>
      </c>
      <c r="B35" s="51"/>
      <c r="C35" s="520"/>
      <c r="D35" s="208"/>
      <c r="E35" s="138"/>
      <c r="F35" s="133"/>
      <c r="G35" s="51">
        <v>3</v>
      </c>
      <c r="H35" s="51"/>
      <c r="I35" s="520"/>
      <c r="J35" s="208"/>
      <c r="K35" s="138"/>
      <c r="L35" s="133"/>
      <c r="M35" s="51">
        <v>3</v>
      </c>
      <c r="N35" s="51"/>
      <c r="O35" s="520"/>
      <c r="P35" s="208"/>
      <c r="Q35" s="138"/>
      <c r="R35" s="164"/>
      <c r="S35" s="51">
        <v>3</v>
      </c>
      <c r="T35" s="51"/>
      <c r="U35" s="520"/>
      <c r="V35" s="208"/>
      <c r="W35" s="138"/>
      <c r="X35" s="133"/>
      <c r="Y35" s="51">
        <v>3</v>
      </c>
      <c r="Z35" s="51"/>
      <c r="AA35" s="520"/>
      <c r="AB35" s="208"/>
      <c r="AC35" s="138"/>
      <c r="AD35" s="133"/>
      <c r="AE35" s="516"/>
    </row>
    <row r="36" spans="1:31" ht="16.2" customHeight="1" thickTop="1">
      <c r="A36" s="51">
        <v>4</v>
      </c>
      <c r="B36" s="51"/>
      <c r="C36" s="523" t="s">
        <v>271</v>
      </c>
      <c r="D36" s="535">
        <f xml:space="preserve"> SUM(D27:D35)</f>
        <v>10400</v>
      </c>
      <c r="E36" s="25"/>
      <c r="F36" s="75">
        <f>SUM(F27:F35)</f>
        <v>0</v>
      </c>
      <c r="G36" s="51">
        <v>4</v>
      </c>
      <c r="H36" s="51"/>
      <c r="I36" s="523" t="s">
        <v>271</v>
      </c>
      <c r="J36" s="535">
        <f xml:space="preserve"> SUM(J27:J35)</f>
        <v>11400</v>
      </c>
      <c r="K36" s="28"/>
      <c r="L36" s="75">
        <f>SUM(L27:L35)</f>
        <v>0</v>
      </c>
      <c r="M36" s="51">
        <v>4</v>
      </c>
      <c r="N36" s="51"/>
      <c r="O36" s="523" t="s">
        <v>271</v>
      </c>
      <c r="P36" s="535">
        <f xml:space="preserve"> SUM(P27:P35)</f>
        <v>5850</v>
      </c>
      <c r="Q36" s="28"/>
      <c r="R36" s="75">
        <f>SUM(R27:R35)</f>
        <v>0</v>
      </c>
      <c r="S36" s="51">
        <v>4</v>
      </c>
      <c r="T36" s="51"/>
      <c r="U36" s="523" t="s">
        <v>271</v>
      </c>
      <c r="V36" s="27">
        <f xml:space="preserve"> SUM(V27:V35)</f>
        <v>13050</v>
      </c>
      <c r="W36" s="28"/>
      <c r="X36" s="75">
        <f>SUM(X27:X35)</f>
        <v>0</v>
      </c>
      <c r="Y36" s="51">
        <v>4</v>
      </c>
      <c r="Z36" s="51"/>
      <c r="AA36" s="523" t="s">
        <v>692</v>
      </c>
      <c r="AB36" s="27">
        <f xml:space="preserve"> SUM(AB27:AB35)</f>
        <v>0</v>
      </c>
      <c r="AC36" s="28"/>
      <c r="AD36" s="75">
        <f>SUM(AD27:AD35)</f>
        <v>0</v>
      </c>
      <c r="AE36" s="524">
        <f>D36+J36+P36+V36+AB36</f>
        <v>40700</v>
      </c>
    </row>
    <row r="37" spans="1:31" ht="16.2" customHeight="1">
      <c r="A37" s="51">
        <v>9</v>
      </c>
      <c r="B37" s="51"/>
      <c r="G37" s="51">
        <v>9</v>
      </c>
      <c r="H37" s="51"/>
      <c r="M37" s="51">
        <v>9</v>
      </c>
      <c r="N37" s="51"/>
      <c r="O37" s="224"/>
      <c r="P37" s="489"/>
      <c r="Q37" s="224"/>
      <c r="R37" s="224"/>
      <c r="S37" s="51">
        <v>9</v>
      </c>
      <c r="T37" s="51"/>
      <c r="U37" s="489"/>
      <c r="V37" s="489"/>
      <c r="W37" s="224"/>
      <c r="X37" s="224"/>
      <c r="Y37" s="51">
        <v>9</v>
      </c>
      <c r="Z37" s="51"/>
      <c r="AA37" s="489"/>
      <c r="AB37" s="489"/>
      <c r="AC37" s="224"/>
      <c r="AD37" s="527" t="s">
        <v>412</v>
      </c>
      <c r="AE37" s="93">
        <f>A茨木市折込部数+M茨木市折込部数+S茨木市折込部数+Y茨木市折込部数+AD36</f>
        <v>0</v>
      </c>
    </row>
    <row r="38" spans="1:31" ht="16.2" customHeight="1">
      <c r="O38" s="224"/>
      <c r="P38" s="489"/>
      <c r="Q38" s="224"/>
      <c r="R38" s="224"/>
      <c r="S38" s="224"/>
      <c r="T38" s="224"/>
      <c r="U38" s="489"/>
      <c r="V38" s="489"/>
      <c r="W38" s="224"/>
      <c r="X38" s="224"/>
      <c r="Y38" s="224"/>
      <c r="Z38" s="224"/>
      <c r="AA38" s="489"/>
      <c r="AB38" s="489"/>
      <c r="AC38" s="224"/>
      <c r="AD38" s="459"/>
      <c r="AE38" s="281"/>
    </row>
    <row r="39" spans="1:31" ht="16.2" customHeight="1">
      <c r="C39" s="338"/>
      <c r="O39" s="489"/>
      <c r="P39" s="489"/>
      <c r="Q39" s="224"/>
      <c r="R39" s="224"/>
      <c r="S39" s="224"/>
      <c r="T39" s="224"/>
      <c r="U39" s="489"/>
      <c r="V39" s="489"/>
      <c r="W39" s="224"/>
      <c r="X39" s="224"/>
      <c r="Y39" s="224"/>
      <c r="Z39" s="224"/>
      <c r="AA39" s="489"/>
      <c r="AB39" s="489"/>
      <c r="AC39" s="224"/>
    </row>
    <row r="40" spans="1:31" ht="16.2" customHeight="1">
      <c r="C40" s="489"/>
      <c r="D40" s="18"/>
      <c r="E40" s="21"/>
      <c r="F40" s="224"/>
      <c r="G40" s="224"/>
      <c r="H40" s="224"/>
      <c r="I40" s="489"/>
      <c r="J40" s="489"/>
      <c r="K40" s="224"/>
      <c r="L40" s="224"/>
      <c r="M40" s="224"/>
      <c r="N40" s="224"/>
      <c r="O40" s="489"/>
      <c r="P40" s="489"/>
      <c r="Q40" s="224"/>
      <c r="R40" s="224"/>
      <c r="S40" s="224"/>
      <c r="T40" s="224"/>
      <c r="U40" s="489"/>
      <c r="V40" s="489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1:31" ht="16.2" customHeight="1">
      <c r="C41" s="489"/>
      <c r="D41" s="18"/>
      <c r="E41" s="21"/>
      <c r="F41" s="224"/>
      <c r="G41" s="224"/>
      <c r="H41" s="224"/>
      <c r="I41" s="489"/>
      <c r="J41" s="489"/>
      <c r="K41" s="224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1:31" ht="16.2" customHeight="1">
      <c r="C42" s="489"/>
      <c r="D42" s="18"/>
      <c r="E42" s="21"/>
      <c r="F42" s="224"/>
      <c r="G42" s="224"/>
      <c r="H42" s="224"/>
      <c r="I42" s="489"/>
      <c r="J42" s="489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18"/>
      <c r="E43" s="21"/>
      <c r="F43" s="224"/>
      <c r="G43" s="224"/>
      <c r="H43" s="224"/>
      <c r="I43" s="489"/>
      <c r="J43" s="489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18"/>
      <c r="E44" s="21"/>
      <c r="F44" s="224"/>
      <c r="G44" s="224"/>
      <c r="H44" s="224"/>
      <c r="I44" s="489"/>
      <c r="J44" s="489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537"/>
      <c r="E45" s="213"/>
      <c r="F45" s="224"/>
      <c r="G45" s="224"/>
      <c r="H45" s="224"/>
      <c r="I45" s="489"/>
      <c r="J45" s="489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489"/>
      <c r="E46" s="224"/>
      <c r="F46" s="224"/>
      <c r="G46" s="224"/>
      <c r="H46" s="224"/>
      <c r="I46" s="489"/>
      <c r="J46" s="489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489"/>
      <c r="E47" s="224"/>
      <c r="F47" s="224"/>
      <c r="G47" s="224"/>
      <c r="H47" s="224"/>
      <c r="I47" s="489"/>
      <c r="J47" s="489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489"/>
      <c r="E48" s="224"/>
      <c r="F48" s="224"/>
      <c r="G48" s="224"/>
      <c r="H48" s="224"/>
      <c r="I48" s="489"/>
      <c r="J48" s="489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489"/>
      <c r="E49" s="224"/>
      <c r="F49" s="224"/>
      <c r="G49" s="224"/>
      <c r="H49" s="224"/>
      <c r="I49" s="489"/>
      <c r="J49" s="489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489"/>
      <c r="E50" s="224"/>
      <c r="F50" s="224"/>
      <c r="G50" s="224"/>
      <c r="H50" s="224"/>
      <c r="I50" s="489"/>
      <c r="J50" s="489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489"/>
      <c r="E51" s="224"/>
      <c r="F51" s="224"/>
      <c r="G51" s="224"/>
      <c r="H51" s="224"/>
      <c r="I51" s="489"/>
      <c r="J51" s="489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489"/>
      <c r="E52" s="224"/>
      <c r="F52" s="224"/>
      <c r="G52" s="224"/>
      <c r="H52" s="224"/>
      <c r="I52" s="489"/>
      <c r="J52" s="489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489"/>
      <c r="E53" s="224"/>
      <c r="F53" s="224"/>
      <c r="G53" s="224"/>
      <c r="H53" s="224"/>
      <c r="I53" s="489"/>
      <c r="J53" s="489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489"/>
      <c r="E54" s="224"/>
      <c r="F54" s="224"/>
      <c r="G54" s="224"/>
      <c r="H54" s="224"/>
      <c r="I54" s="489"/>
      <c r="J54" s="489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489"/>
      <c r="E55" s="224"/>
      <c r="F55" s="224"/>
      <c r="G55" s="224"/>
      <c r="H55" s="224"/>
      <c r="I55" s="489"/>
      <c r="J55" s="489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489"/>
      <c r="E56" s="224"/>
      <c r="F56" s="224"/>
      <c r="G56" s="224"/>
      <c r="H56" s="224"/>
      <c r="I56" s="489"/>
      <c r="J56" s="489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489"/>
      <c r="E57" s="224"/>
      <c r="F57" s="224"/>
      <c r="G57" s="224"/>
      <c r="H57" s="224"/>
      <c r="I57" s="489"/>
      <c r="J57" s="489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489"/>
      <c r="E58" s="224"/>
      <c r="F58" s="224"/>
      <c r="G58" s="224"/>
      <c r="H58" s="224"/>
      <c r="I58" s="489"/>
      <c r="J58" s="489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489"/>
      <c r="E59" s="224"/>
      <c r="F59" s="224"/>
      <c r="G59" s="224"/>
      <c r="H59" s="224"/>
      <c r="I59" s="489"/>
      <c r="J59" s="489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489"/>
      <c r="E60" s="224"/>
      <c r="F60" s="224"/>
      <c r="G60" s="224"/>
      <c r="H60" s="224"/>
      <c r="I60" s="489"/>
      <c r="J60" s="489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489"/>
      <c r="E61" s="224"/>
      <c r="F61" s="224"/>
      <c r="G61" s="224"/>
      <c r="H61" s="224"/>
      <c r="I61" s="489"/>
      <c r="J61" s="489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489"/>
      <c r="E62" s="224"/>
      <c r="F62" s="224"/>
      <c r="G62" s="224"/>
      <c r="H62" s="224"/>
      <c r="I62" s="489"/>
      <c r="J62" s="489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489"/>
      <c r="E63" s="224"/>
      <c r="F63" s="224"/>
      <c r="G63" s="224"/>
      <c r="H63" s="224"/>
      <c r="I63" s="489"/>
      <c r="J63" s="489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489"/>
      <c r="E64" s="224"/>
      <c r="F64" s="224"/>
      <c r="G64" s="224"/>
      <c r="H64" s="224"/>
      <c r="I64" s="489"/>
      <c r="J64" s="489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489"/>
      <c r="E65" s="224"/>
      <c r="F65" s="224"/>
      <c r="G65" s="224"/>
      <c r="H65" s="224"/>
      <c r="I65" s="489"/>
      <c r="J65" s="489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489"/>
      <c r="E66" s="224"/>
      <c r="F66" s="224"/>
      <c r="G66" s="224"/>
      <c r="H66" s="224"/>
      <c r="I66" s="489"/>
      <c r="J66" s="489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489"/>
      <c r="E67" s="224"/>
      <c r="F67" s="224"/>
      <c r="G67" s="224"/>
      <c r="H67" s="224"/>
      <c r="I67" s="489"/>
      <c r="J67" s="489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489"/>
      <c r="E68" s="224"/>
      <c r="F68" s="224"/>
      <c r="G68" s="224"/>
      <c r="H68" s="224"/>
      <c r="I68" s="489"/>
      <c r="J68" s="489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489"/>
      <c r="E69" s="224"/>
      <c r="F69" s="224"/>
      <c r="G69" s="224"/>
      <c r="H69" s="224"/>
      <c r="I69" s="489"/>
      <c r="J69" s="489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489"/>
      <c r="E70" s="224"/>
      <c r="F70" s="224"/>
      <c r="G70" s="224"/>
      <c r="H70" s="224"/>
      <c r="I70" s="489"/>
      <c r="J70" s="489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489"/>
      <c r="E71" s="224"/>
      <c r="F71" s="224"/>
      <c r="G71" s="224"/>
      <c r="H71" s="224"/>
      <c r="I71" s="489"/>
      <c r="J71" s="489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489"/>
      <c r="E72" s="224"/>
      <c r="F72" s="224"/>
      <c r="G72" s="224"/>
      <c r="H72" s="224"/>
      <c r="I72" s="489"/>
      <c r="J72" s="489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489"/>
      <c r="E73" s="224"/>
      <c r="F73" s="224"/>
      <c r="G73" s="224"/>
      <c r="H73" s="224"/>
      <c r="I73" s="489"/>
      <c r="J73" s="489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489"/>
      <c r="E74" s="224"/>
      <c r="F74" s="224"/>
      <c r="G74" s="224"/>
      <c r="H74" s="224"/>
      <c r="I74" s="489"/>
      <c r="J74" s="489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489"/>
      <c r="E75" s="224"/>
      <c r="F75" s="224"/>
      <c r="G75" s="224"/>
      <c r="H75" s="224"/>
      <c r="I75" s="489"/>
      <c r="J75" s="489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489"/>
      <c r="E76" s="224"/>
      <c r="F76" s="224"/>
      <c r="G76" s="224"/>
      <c r="H76" s="224"/>
      <c r="I76" s="489"/>
      <c r="J76" s="489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489"/>
      <c r="E77" s="224"/>
      <c r="F77" s="224"/>
      <c r="G77" s="224"/>
      <c r="H77" s="224"/>
      <c r="I77" s="489"/>
      <c r="J77" s="489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489"/>
      <c r="E78" s="224"/>
      <c r="F78" s="224"/>
      <c r="G78" s="224"/>
      <c r="H78" s="224"/>
      <c r="I78" s="489"/>
      <c r="J78" s="489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489"/>
      <c r="E79" s="224"/>
      <c r="F79" s="224"/>
      <c r="G79" s="224"/>
      <c r="H79" s="224"/>
      <c r="I79" s="489"/>
      <c r="J79" s="489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489"/>
      <c r="E80" s="224"/>
      <c r="F80" s="224"/>
      <c r="G80" s="224"/>
      <c r="H80" s="224"/>
      <c r="I80" s="489"/>
      <c r="J80" s="489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489"/>
      <c r="E81" s="224"/>
      <c r="F81" s="224"/>
      <c r="G81" s="224"/>
      <c r="H81" s="224"/>
      <c r="I81" s="489"/>
      <c r="J81" s="489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489"/>
      <c r="E82" s="224"/>
      <c r="F82" s="224"/>
      <c r="G82" s="224"/>
      <c r="H82" s="224"/>
      <c r="I82" s="489"/>
      <c r="J82" s="489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489"/>
      <c r="E83" s="224"/>
      <c r="F83" s="224"/>
      <c r="G83" s="224"/>
      <c r="H83" s="224"/>
      <c r="I83" s="489"/>
      <c r="J83" s="489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489"/>
      <c r="E84" s="224"/>
      <c r="F84" s="224"/>
      <c r="G84" s="224"/>
      <c r="H84" s="224"/>
      <c r="I84" s="489"/>
      <c r="J84" s="489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489"/>
      <c r="E85" s="224"/>
      <c r="F85" s="224"/>
      <c r="G85" s="224"/>
      <c r="H85" s="224"/>
      <c r="I85" s="489"/>
      <c r="J85" s="489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489"/>
      <c r="E86" s="224"/>
      <c r="F86" s="224"/>
      <c r="G86" s="224"/>
      <c r="H86" s="224"/>
      <c r="I86" s="489"/>
      <c r="J86" s="489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489"/>
      <c r="E87" s="224"/>
      <c r="F87" s="224"/>
      <c r="G87" s="224"/>
      <c r="H87" s="224"/>
      <c r="I87" s="489"/>
      <c r="J87" s="489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489"/>
      <c r="E88" s="224"/>
      <c r="F88" s="224"/>
      <c r="G88" s="224"/>
      <c r="H88" s="224"/>
      <c r="I88" s="489"/>
      <c r="J88" s="489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489"/>
      <c r="E89" s="224"/>
      <c r="F89" s="224"/>
      <c r="G89" s="224"/>
      <c r="H89" s="224"/>
      <c r="I89" s="489"/>
      <c r="J89" s="489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489"/>
      <c r="E90" s="224"/>
      <c r="F90" s="224"/>
      <c r="G90" s="224"/>
      <c r="H90" s="224"/>
      <c r="I90" s="489"/>
      <c r="J90" s="489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489"/>
      <c r="E91" s="224"/>
      <c r="F91" s="224"/>
      <c r="G91" s="224"/>
      <c r="H91" s="224"/>
      <c r="I91" s="489"/>
      <c r="J91" s="489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489"/>
      <c r="E92" s="224"/>
      <c r="F92" s="224"/>
      <c r="G92" s="224"/>
      <c r="H92" s="224"/>
      <c r="I92" s="489"/>
      <c r="J92" s="489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489"/>
      <c r="E93" s="224"/>
      <c r="F93" s="224"/>
      <c r="G93" s="224"/>
      <c r="H93" s="224"/>
      <c r="I93" s="489"/>
      <c r="J93" s="489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489"/>
      <c r="E94" s="224"/>
      <c r="F94" s="224"/>
      <c r="G94" s="224"/>
      <c r="H94" s="224"/>
      <c r="I94" s="489"/>
      <c r="J94" s="489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489"/>
      <c r="E95" s="224"/>
      <c r="F95" s="224"/>
      <c r="G95" s="224"/>
      <c r="H95" s="224"/>
      <c r="I95" s="489"/>
      <c r="J95" s="489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489"/>
      <c r="E96" s="224"/>
      <c r="F96" s="224"/>
      <c r="G96" s="224"/>
      <c r="H96" s="224"/>
      <c r="I96" s="489"/>
      <c r="J96" s="489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489"/>
      <c r="E97" s="224"/>
      <c r="F97" s="224"/>
      <c r="G97" s="224"/>
      <c r="H97" s="224"/>
      <c r="I97" s="489"/>
      <c r="J97" s="489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489"/>
      <c r="E98" s="224"/>
      <c r="F98" s="224"/>
      <c r="G98" s="224"/>
      <c r="H98" s="224"/>
      <c r="I98" s="489"/>
      <c r="J98" s="489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489"/>
      <c r="E99" s="224"/>
      <c r="F99" s="224"/>
      <c r="G99" s="224"/>
      <c r="H99" s="224"/>
      <c r="I99" s="489"/>
      <c r="J99" s="489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489"/>
      <c r="E100" s="224"/>
      <c r="F100" s="224"/>
      <c r="G100" s="224"/>
      <c r="H100" s="224"/>
      <c r="I100" s="489"/>
      <c r="J100" s="489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489"/>
      <c r="E101" s="224"/>
      <c r="F101" s="224"/>
      <c r="G101" s="224"/>
      <c r="H101" s="224"/>
      <c r="I101" s="489"/>
      <c r="J101" s="489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489"/>
      <c r="E102" s="224"/>
      <c r="F102" s="224"/>
      <c r="G102" s="224"/>
      <c r="H102" s="224"/>
      <c r="I102" s="489"/>
      <c r="J102" s="489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489"/>
      <c r="E103" s="224"/>
      <c r="F103" s="224"/>
      <c r="G103" s="224"/>
      <c r="H103" s="224"/>
      <c r="I103" s="489"/>
      <c r="J103" s="489"/>
      <c r="K103" s="224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489"/>
      <c r="E104" s="224"/>
      <c r="F104" s="224"/>
      <c r="G104" s="224"/>
      <c r="H104" s="224"/>
      <c r="I104" s="489"/>
      <c r="J104" s="489"/>
      <c r="K104" s="224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489"/>
      <c r="E105" s="224"/>
      <c r="F105" s="224"/>
      <c r="G105" s="224"/>
      <c r="H105" s="224"/>
      <c r="I105" s="489"/>
      <c r="J105" s="489"/>
      <c r="K105" s="224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489"/>
      <c r="E106" s="224"/>
      <c r="F106" s="224"/>
      <c r="G106" s="224"/>
      <c r="H106" s="224"/>
      <c r="I106" s="489"/>
      <c r="J106" s="489"/>
      <c r="K106" s="224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489"/>
      <c r="E107" s="224"/>
      <c r="F107" s="224"/>
      <c r="G107" s="224"/>
      <c r="H107" s="224"/>
      <c r="I107" s="489"/>
      <c r="J107" s="489"/>
      <c r="K107" s="224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489"/>
      <c r="E108" s="224"/>
      <c r="F108" s="224"/>
      <c r="G108" s="224"/>
      <c r="H108" s="224"/>
      <c r="I108" s="489"/>
      <c r="J108" s="489"/>
      <c r="K108" s="224"/>
      <c r="L108" s="224"/>
      <c r="M108" s="224"/>
      <c r="N108" s="224"/>
      <c r="O108" s="489"/>
      <c r="P108" s="489"/>
      <c r="Q108" s="224"/>
      <c r="R108" s="224"/>
      <c r="S108" s="224"/>
      <c r="T108" s="224"/>
      <c r="U108" s="489"/>
      <c r="V108" s="489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C109" s="489"/>
      <c r="D109" s="489"/>
      <c r="E109" s="224"/>
      <c r="F109" s="224"/>
      <c r="G109" s="224"/>
      <c r="H109" s="224"/>
      <c r="I109" s="489"/>
      <c r="J109" s="489"/>
      <c r="K109" s="224"/>
      <c r="L109" s="224"/>
      <c r="M109" s="224"/>
      <c r="N109" s="224"/>
      <c r="O109" s="489"/>
      <c r="P109" s="489"/>
      <c r="Q109" s="224"/>
      <c r="R109" s="224"/>
      <c r="S109" s="224"/>
      <c r="T109" s="224"/>
      <c r="U109" s="489"/>
      <c r="V109" s="489"/>
      <c r="W109" s="224"/>
      <c r="X109" s="224"/>
      <c r="Y109" s="224"/>
      <c r="Z109" s="224"/>
      <c r="AA109" s="489"/>
      <c r="AB109" s="489"/>
      <c r="AC109" s="224"/>
      <c r="AD109" s="224"/>
      <c r="AE109" s="489"/>
    </row>
    <row r="110" spans="3:31" ht="16.2" customHeight="1">
      <c r="C110" s="489"/>
      <c r="D110" s="489"/>
      <c r="E110" s="224"/>
      <c r="F110" s="224"/>
      <c r="G110" s="224"/>
      <c r="H110" s="224"/>
      <c r="I110" s="489"/>
      <c r="J110" s="489"/>
      <c r="K110" s="224"/>
      <c r="L110" s="224"/>
      <c r="M110" s="224"/>
      <c r="N110" s="224"/>
      <c r="O110" s="489"/>
      <c r="P110" s="489"/>
      <c r="Q110" s="224"/>
      <c r="R110" s="224"/>
      <c r="S110" s="224"/>
      <c r="T110" s="224"/>
      <c r="U110" s="489"/>
      <c r="V110" s="489"/>
      <c r="W110" s="224"/>
      <c r="X110" s="224"/>
      <c r="Y110" s="224"/>
      <c r="Z110" s="224"/>
      <c r="AA110" s="489"/>
      <c r="AB110" s="489"/>
      <c r="AC110" s="224"/>
      <c r="AD110" s="224"/>
      <c r="AE110" s="489"/>
    </row>
    <row r="111" spans="3:31" ht="16.2" customHeight="1">
      <c r="C111" s="489"/>
      <c r="D111" s="489"/>
      <c r="E111" s="224"/>
      <c r="F111" s="224"/>
      <c r="G111" s="224"/>
      <c r="H111" s="224"/>
      <c r="I111" s="489"/>
      <c r="J111" s="489"/>
      <c r="K111" s="224"/>
      <c r="L111" s="224"/>
      <c r="M111" s="224"/>
      <c r="N111" s="224"/>
      <c r="O111" s="489"/>
      <c r="P111" s="489"/>
      <c r="Q111" s="224"/>
      <c r="R111" s="224"/>
      <c r="S111" s="224"/>
      <c r="T111" s="224"/>
      <c r="U111" s="489"/>
      <c r="V111" s="489"/>
      <c r="W111" s="224"/>
      <c r="X111" s="224"/>
      <c r="Y111" s="224"/>
      <c r="Z111" s="224"/>
      <c r="AA111" s="489"/>
      <c r="AB111" s="489"/>
      <c r="AC111" s="224"/>
      <c r="AD111" s="224"/>
      <c r="AE111" s="489"/>
    </row>
    <row r="112" spans="3:31" ht="16.2" customHeight="1">
      <c r="C112" s="489"/>
      <c r="D112" s="489"/>
      <c r="E112" s="224"/>
      <c r="F112" s="224"/>
      <c r="G112" s="224"/>
      <c r="H112" s="224"/>
      <c r="I112" s="489"/>
      <c r="J112" s="489"/>
      <c r="K112" s="224"/>
      <c r="L112" s="224"/>
      <c r="M112" s="224"/>
      <c r="N112" s="224"/>
      <c r="O112" s="489"/>
      <c r="P112" s="489"/>
      <c r="Q112" s="224"/>
      <c r="R112" s="224"/>
      <c r="S112" s="224"/>
      <c r="T112" s="224"/>
      <c r="U112" s="489"/>
      <c r="V112" s="489"/>
      <c r="W112" s="224"/>
      <c r="X112" s="224"/>
      <c r="Y112" s="224"/>
      <c r="Z112" s="224"/>
      <c r="AA112" s="489"/>
      <c r="AB112" s="489"/>
      <c r="AC112" s="224"/>
      <c r="AD112" s="224"/>
      <c r="AE112" s="489"/>
    </row>
    <row r="113" spans="3:31" ht="16.2" customHeight="1">
      <c r="C113" s="489"/>
      <c r="D113" s="489"/>
      <c r="E113" s="224"/>
      <c r="F113" s="224"/>
      <c r="G113" s="224"/>
      <c r="H113" s="224"/>
      <c r="I113" s="489"/>
      <c r="J113" s="489"/>
      <c r="K113" s="224"/>
      <c r="L113" s="224"/>
      <c r="M113" s="224"/>
      <c r="N113" s="224"/>
      <c r="O113" s="489"/>
      <c r="P113" s="489"/>
      <c r="Q113" s="224"/>
      <c r="R113" s="224"/>
      <c r="S113" s="224"/>
      <c r="T113" s="224"/>
      <c r="U113" s="489"/>
      <c r="V113" s="489"/>
      <c r="W113" s="224"/>
      <c r="X113" s="224"/>
      <c r="Y113" s="224"/>
      <c r="Z113" s="224"/>
      <c r="AA113" s="489"/>
      <c r="AB113" s="489"/>
      <c r="AC113" s="224"/>
      <c r="AD113" s="224"/>
      <c r="AE113" s="489"/>
    </row>
  </sheetData>
  <sheetProtection formatCells="0"/>
  <mergeCells count="14">
    <mergeCell ref="AA7:AE8"/>
    <mergeCell ref="C2:F3"/>
    <mergeCell ref="AA10:AD10"/>
    <mergeCell ref="W5:X5"/>
    <mergeCell ref="D5:L6"/>
    <mergeCell ref="C10:F10"/>
    <mergeCell ref="I10:L10"/>
    <mergeCell ref="O10:R10"/>
    <mergeCell ref="U10:X10"/>
    <mergeCell ref="W7:X7"/>
    <mergeCell ref="D7:L8"/>
    <mergeCell ref="P5:V6"/>
    <mergeCell ref="P7:Q8"/>
    <mergeCell ref="AA5:AC6"/>
  </mergeCells>
  <phoneticPr fontId="2"/>
  <conditionalFormatting sqref="F27:F33 L27:L31 R27:R31 L13:L21 X27:X33 F13:F22 R13:R22 X13:X22">
    <cfRule type="cellIs" dxfId="31" priority="1" operator="greaterThan">
      <formula>D13</formula>
    </cfRule>
  </conditionalFormatting>
  <hyperlinks>
    <hyperlink ref="C2:F3" location="提案表紙!A1" display="大阪府折込資料表" xr:uid="{00000000-0004-0000-10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 xml:space="preserve">&amp;L吹田市・茨木市&amp;RP-13/34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B6D2F5"/>
    <pageSetUpPr fitToPage="1"/>
  </sheetPr>
  <dimension ref="A1:AE122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  <col min="31" max="31" width="9.44140625" bestFit="1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E4"/>
      <c r="F4"/>
      <c r="G4"/>
      <c r="H4"/>
      <c r="I4" s="187">
        <v>45717</v>
      </c>
      <c r="J4" s="186" t="s">
        <v>0</v>
      </c>
      <c r="K4" t="s">
        <v>643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644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645</v>
      </c>
      <c r="P7" s="827">
        <f>提案表紙!G9</f>
        <v>0</v>
      </c>
      <c r="Q7" s="828"/>
      <c r="R7" s="7" t="s">
        <v>676</v>
      </c>
      <c r="S7"/>
      <c r="T7"/>
      <c r="U7" s="410">
        <f>高槻市折込部数+三島郡折込部数+摂津市折込部数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688</v>
      </c>
      <c r="D11" s="504" t="s">
        <v>689</v>
      </c>
      <c r="E11" s="319" t="s">
        <v>690</v>
      </c>
      <c r="F11" s="505" t="s">
        <v>212</v>
      </c>
      <c r="G11" s="51"/>
      <c r="H11" s="51"/>
      <c r="I11" s="503" t="s">
        <v>688</v>
      </c>
      <c r="J11" s="504" t="s">
        <v>689</v>
      </c>
      <c r="K11" s="319" t="s">
        <v>690</v>
      </c>
      <c r="L11" s="505" t="s">
        <v>212</v>
      </c>
      <c r="M11" s="51"/>
      <c r="N11" s="51"/>
      <c r="O11" s="503" t="s">
        <v>688</v>
      </c>
      <c r="P11" s="504" t="s">
        <v>689</v>
      </c>
      <c r="Q11" s="319" t="s">
        <v>690</v>
      </c>
      <c r="R11" s="505" t="s">
        <v>212</v>
      </c>
      <c r="S11" s="51"/>
      <c r="T11" s="51"/>
      <c r="U11" s="503" t="s">
        <v>688</v>
      </c>
      <c r="V11" s="504" t="s">
        <v>689</v>
      </c>
      <c r="W11" s="319" t="s">
        <v>690</v>
      </c>
      <c r="X11" s="505" t="s">
        <v>212</v>
      </c>
      <c r="Y11" s="51"/>
      <c r="Z11" s="51"/>
      <c r="AA11" s="503" t="s">
        <v>688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1415</v>
      </c>
      <c r="C12" s="46" t="s">
        <v>914</v>
      </c>
      <c r="G12" s="51">
        <v>2</v>
      </c>
      <c r="H12" s="488" t="s">
        <v>1415</v>
      </c>
      <c r="M12" s="51">
        <v>2</v>
      </c>
      <c r="N12" s="488" t="s">
        <v>1415</v>
      </c>
      <c r="R12"/>
      <c r="S12" s="51">
        <v>2</v>
      </c>
      <c r="T12" s="488" t="s">
        <v>1415</v>
      </c>
      <c r="X12"/>
      <c r="Y12" s="51">
        <v>2</v>
      </c>
      <c r="Z12" s="488" t="s">
        <v>1415</v>
      </c>
      <c r="AB12" s="15"/>
      <c r="AC12"/>
      <c r="AD12"/>
    </row>
    <row r="13" spans="1:31" ht="16.2" customHeight="1">
      <c r="A13" s="51">
        <v>3</v>
      </c>
      <c r="B13" s="51">
        <v>72199</v>
      </c>
      <c r="C13" s="441" t="s">
        <v>646</v>
      </c>
      <c r="D13" s="148">
        <v>1400</v>
      </c>
      <c r="E13" s="390"/>
      <c r="F13" s="404"/>
      <c r="G13" s="51">
        <v>3</v>
      </c>
      <c r="H13" s="51">
        <v>73199</v>
      </c>
      <c r="I13" s="441" t="s">
        <v>650</v>
      </c>
      <c r="J13" s="148">
        <v>2800</v>
      </c>
      <c r="K13" s="177"/>
      <c r="L13" s="404"/>
      <c r="M13" s="51">
        <v>3</v>
      </c>
      <c r="N13" s="51">
        <v>75205</v>
      </c>
      <c r="O13" s="441" t="s">
        <v>1295</v>
      </c>
      <c r="P13" s="148">
        <v>850</v>
      </c>
      <c r="Q13" s="177"/>
      <c r="R13" s="404"/>
      <c r="S13" s="51">
        <v>3</v>
      </c>
      <c r="T13" s="51">
        <v>74251</v>
      </c>
      <c r="U13" s="441" t="s">
        <v>650</v>
      </c>
      <c r="V13" s="148">
        <v>3500</v>
      </c>
      <c r="W13" s="177"/>
      <c r="X13" s="404"/>
      <c r="Y13" s="51">
        <v>3</v>
      </c>
      <c r="Z13" s="51"/>
      <c r="AA13" s="703"/>
      <c r="AB13" s="215"/>
      <c r="AC13" s="136"/>
      <c r="AD13" s="129"/>
      <c r="AE13" s="704"/>
    </row>
    <row r="14" spans="1:31" ht="16.2" customHeight="1">
      <c r="A14" s="51">
        <v>3</v>
      </c>
      <c r="B14" s="51">
        <v>72201</v>
      </c>
      <c r="C14" s="691" t="s">
        <v>647</v>
      </c>
      <c r="D14" s="352">
        <v>2250</v>
      </c>
      <c r="E14" s="391"/>
      <c r="F14" s="405"/>
      <c r="G14" s="51">
        <v>3</v>
      </c>
      <c r="H14" s="51">
        <v>73201</v>
      </c>
      <c r="I14" s="691" t="s">
        <v>654</v>
      </c>
      <c r="J14" s="352">
        <v>1300</v>
      </c>
      <c r="K14" s="198"/>
      <c r="L14" s="405"/>
      <c r="M14" s="51">
        <v>3</v>
      </c>
      <c r="N14" s="51">
        <v>75207</v>
      </c>
      <c r="O14" s="691" t="s">
        <v>658</v>
      </c>
      <c r="P14" s="352">
        <v>700</v>
      </c>
      <c r="Q14" s="198"/>
      <c r="R14" s="405"/>
      <c r="S14" s="51">
        <v>3</v>
      </c>
      <c r="T14" s="51">
        <v>74253</v>
      </c>
      <c r="U14" s="691" t="s">
        <v>657</v>
      </c>
      <c r="V14" s="352">
        <v>2550</v>
      </c>
      <c r="W14" s="198"/>
      <c r="X14" s="405"/>
      <c r="Y14" s="51">
        <v>3</v>
      </c>
      <c r="Z14" s="51"/>
      <c r="AA14" s="692"/>
      <c r="AB14" s="226"/>
      <c r="AC14" s="156"/>
      <c r="AD14" s="157"/>
      <c r="AE14" s="706"/>
    </row>
    <row r="15" spans="1:31" ht="16.2" customHeight="1">
      <c r="A15" s="51">
        <v>3</v>
      </c>
      <c r="B15" s="51">
        <v>72205</v>
      </c>
      <c r="C15" s="691" t="s">
        <v>649</v>
      </c>
      <c r="D15" s="352">
        <v>4400</v>
      </c>
      <c r="E15" s="391"/>
      <c r="F15" s="405"/>
      <c r="G15" s="51">
        <v>3</v>
      </c>
      <c r="H15" s="51">
        <v>73203</v>
      </c>
      <c r="I15" s="691" t="s">
        <v>653</v>
      </c>
      <c r="J15" s="352">
        <v>3000</v>
      </c>
      <c r="K15" s="198"/>
      <c r="L15" s="405"/>
      <c r="M15" s="51">
        <v>3</v>
      </c>
      <c r="N15" s="51">
        <v>75209</v>
      </c>
      <c r="O15" s="691" t="s">
        <v>657</v>
      </c>
      <c r="P15" s="352">
        <v>1250</v>
      </c>
      <c r="Q15" s="198"/>
      <c r="R15" s="405"/>
      <c r="S15" s="51">
        <v>3</v>
      </c>
      <c r="T15" s="51">
        <v>74255</v>
      </c>
      <c r="U15" s="691" t="s">
        <v>651</v>
      </c>
      <c r="V15" s="352">
        <v>1400</v>
      </c>
      <c r="W15" s="198"/>
      <c r="X15" s="405"/>
      <c r="Y15" s="51">
        <v>3</v>
      </c>
      <c r="Z15" s="51"/>
      <c r="AA15" s="692"/>
      <c r="AB15" s="226"/>
      <c r="AC15" s="156"/>
      <c r="AD15" s="157"/>
      <c r="AE15" s="706"/>
    </row>
    <row r="16" spans="1:31" ht="16.2" customHeight="1">
      <c r="A16" s="51">
        <v>3</v>
      </c>
      <c r="B16" s="51">
        <v>72207</v>
      </c>
      <c r="C16" s="691" t="s">
        <v>1265</v>
      </c>
      <c r="D16" s="352">
        <v>3350</v>
      </c>
      <c r="E16" s="391"/>
      <c r="F16" s="405"/>
      <c r="G16" s="51">
        <v>3</v>
      </c>
      <c r="H16" s="51">
        <v>73205</v>
      </c>
      <c r="I16" s="691" t="s">
        <v>655</v>
      </c>
      <c r="J16" s="352">
        <v>900</v>
      </c>
      <c r="K16" s="137"/>
      <c r="L16" s="405"/>
      <c r="M16" s="51">
        <v>3</v>
      </c>
      <c r="N16" s="51">
        <v>75211</v>
      </c>
      <c r="O16" s="691" t="s">
        <v>659</v>
      </c>
      <c r="P16" s="352">
        <v>750</v>
      </c>
      <c r="Q16" s="198"/>
      <c r="R16" s="405"/>
      <c r="S16" s="51">
        <v>3</v>
      </c>
      <c r="T16" s="51">
        <v>74257</v>
      </c>
      <c r="U16" s="746" t="s">
        <v>1521</v>
      </c>
      <c r="V16" s="352">
        <v>3050</v>
      </c>
      <c r="W16" s="198"/>
      <c r="X16" s="405"/>
      <c r="Y16" s="51">
        <v>3</v>
      </c>
      <c r="Z16" s="51"/>
      <c r="AA16" s="692"/>
      <c r="AB16" s="226"/>
      <c r="AC16" s="156"/>
      <c r="AD16" s="157"/>
      <c r="AE16" s="706"/>
    </row>
    <row r="17" spans="1:31" ht="16.2" customHeight="1">
      <c r="A17" s="51">
        <v>3</v>
      </c>
      <c r="B17" s="51">
        <v>72209</v>
      </c>
      <c r="C17" s="691" t="s">
        <v>650</v>
      </c>
      <c r="D17" s="352">
        <v>2750</v>
      </c>
      <c r="E17" s="391"/>
      <c r="F17" s="405"/>
      <c r="G17" s="51">
        <v>3</v>
      </c>
      <c r="H17" s="51">
        <v>73207</v>
      </c>
      <c r="I17" s="691" t="s">
        <v>656</v>
      </c>
      <c r="J17" s="352">
        <v>3450</v>
      </c>
      <c r="K17" s="198"/>
      <c r="L17" s="405"/>
      <c r="M17" s="51">
        <v>3</v>
      </c>
      <c r="N17" s="51">
        <v>75213</v>
      </c>
      <c r="O17" s="691" t="s">
        <v>660</v>
      </c>
      <c r="P17" s="352">
        <v>400</v>
      </c>
      <c r="Q17" s="198"/>
      <c r="R17" s="405"/>
      <c r="S17" s="51">
        <v>3</v>
      </c>
      <c r="T17" s="51">
        <v>74263</v>
      </c>
      <c r="U17" s="386" t="s">
        <v>662</v>
      </c>
      <c r="V17" s="143">
        <v>1900</v>
      </c>
      <c r="W17" s="198"/>
      <c r="X17" s="405"/>
      <c r="Y17" s="51">
        <v>3</v>
      </c>
      <c r="Z17" s="51"/>
      <c r="AA17" s="692"/>
      <c r="AB17" s="226"/>
      <c r="AC17" s="156"/>
      <c r="AD17" s="157"/>
      <c r="AE17" s="706"/>
    </row>
    <row r="18" spans="1:31" ht="16.2" customHeight="1">
      <c r="A18" s="51">
        <v>3</v>
      </c>
      <c r="B18" s="51">
        <v>72215</v>
      </c>
      <c r="C18" s="386" t="s">
        <v>652</v>
      </c>
      <c r="D18" s="143">
        <v>950</v>
      </c>
      <c r="E18" s="391"/>
      <c r="F18" s="405"/>
      <c r="G18" s="51">
        <v>3</v>
      </c>
      <c r="H18" s="51">
        <v>73209</v>
      </c>
      <c r="I18" s="691" t="s">
        <v>1273</v>
      </c>
      <c r="J18" s="352">
        <v>2650</v>
      </c>
      <c r="K18" s="198"/>
      <c r="L18" s="405"/>
      <c r="M18" s="51">
        <v>3</v>
      </c>
      <c r="N18" s="51">
        <v>75215</v>
      </c>
      <c r="O18" s="691" t="s">
        <v>646</v>
      </c>
      <c r="P18" s="352">
        <v>1300</v>
      </c>
      <c r="Q18" s="198"/>
      <c r="R18" s="405"/>
      <c r="S18" s="51">
        <v>3</v>
      </c>
      <c r="T18" s="51">
        <v>74265</v>
      </c>
      <c r="U18" s="386" t="s">
        <v>663</v>
      </c>
      <c r="V18" s="143">
        <v>4300</v>
      </c>
      <c r="W18" s="198"/>
      <c r="X18" s="405"/>
      <c r="Y18" s="51">
        <v>3</v>
      </c>
      <c r="Z18" s="51"/>
      <c r="AA18" s="692"/>
      <c r="AB18" s="226"/>
      <c r="AC18" s="156"/>
      <c r="AD18" s="157"/>
      <c r="AE18" s="706"/>
    </row>
    <row r="19" spans="1:31" ht="16.2" customHeight="1">
      <c r="A19" s="51">
        <v>3</v>
      </c>
      <c r="B19" s="51">
        <v>72217</v>
      </c>
      <c r="C19" s="386" t="s">
        <v>1096</v>
      </c>
      <c r="D19" s="143">
        <v>3500</v>
      </c>
      <c r="E19" s="277"/>
      <c r="F19" s="405"/>
      <c r="G19" s="51">
        <v>3</v>
      </c>
      <c r="H19" s="51">
        <v>73211</v>
      </c>
      <c r="I19" s="386" t="s">
        <v>642</v>
      </c>
      <c r="J19" s="143">
        <v>1250</v>
      </c>
      <c r="K19" s="198"/>
      <c r="L19" s="405"/>
      <c r="M19" s="51">
        <v>3</v>
      </c>
      <c r="N19" s="51">
        <v>75217</v>
      </c>
      <c r="O19" s="691" t="s">
        <v>642</v>
      </c>
      <c r="P19" s="352">
        <v>1300</v>
      </c>
      <c r="Q19" s="198"/>
      <c r="R19" s="405"/>
      <c r="S19" s="51">
        <v>3</v>
      </c>
      <c r="T19" s="51">
        <v>74269</v>
      </c>
      <c r="U19" s="451" t="s">
        <v>1556</v>
      </c>
      <c r="V19" s="143">
        <v>3000</v>
      </c>
      <c r="W19" s="198"/>
      <c r="X19" s="405"/>
      <c r="Y19" s="51">
        <v>3</v>
      </c>
      <c r="Z19" s="51"/>
      <c r="AA19" s="692"/>
      <c r="AB19" s="226"/>
      <c r="AC19" s="156"/>
      <c r="AD19" s="157"/>
      <c r="AE19" s="706"/>
    </row>
    <row r="20" spans="1:31" ht="16.2" customHeight="1">
      <c r="A20" s="51">
        <v>3</v>
      </c>
      <c r="B20" s="51"/>
      <c r="C20" s="386"/>
      <c r="D20" s="143"/>
      <c r="E20" s="391"/>
      <c r="F20" s="405"/>
      <c r="G20" s="51">
        <v>3</v>
      </c>
      <c r="H20" s="51">
        <v>73213</v>
      </c>
      <c r="I20" s="386" t="s">
        <v>648</v>
      </c>
      <c r="J20" s="143">
        <v>250</v>
      </c>
      <c r="K20" s="198"/>
      <c r="L20" s="405"/>
      <c r="M20" s="51">
        <v>3</v>
      </c>
      <c r="N20" s="51">
        <v>75219</v>
      </c>
      <c r="O20" s="386" t="s">
        <v>649</v>
      </c>
      <c r="P20" s="143">
        <v>1500</v>
      </c>
      <c r="Q20" s="137"/>
      <c r="R20" s="405"/>
      <c r="S20" s="51">
        <v>3</v>
      </c>
      <c r="T20" s="51">
        <v>74271</v>
      </c>
      <c r="U20" s="386" t="s">
        <v>1297</v>
      </c>
      <c r="V20" s="143">
        <v>2550</v>
      </c>
      <c r="W20" s="146"/>
      <c r="X20" s="405"/>
      <c r="Y20" s="51">
        <v>3</v>
      </c>
      <c r="Z20" s="51"/>
      <c r="AA20" s="512"/>
      <c r="AB20" s="139"/>
      <c r="AC20" s="137"/>
      <c r="AD20" s="132"/>
      <c r="AE20" s="706"/>
    </row>
    <row r="21" spans="1:31" ht="16.2" customHeight="1">
      <c r="A21" s="51">
        <v>3</v>
      </c>
      <c r="B21" s="51"/>
      <c r="C21" s="386"/>
      <c r="D21" s="143"/>
      <c r="E21" s="142"/>
      <c r="F21" s="405"/>
      <c r="G21" s="51">
        <v>3</v>
      </c>
      <c r="H21" s="51"/>
      <c r="I21" s="386"/>
      <c r="J21" s="446"/>
      <c r="K21" s="137"/>
      <c r="L21" s="405"/>
      <c r="M21" s="51">
        <v>3</v>
      </c>
      <c r="N21" s="51">
        <v>75221</v>
      </c>
      <c r="O21" s="386" t="s">
        <v>648</v>
      </c>
      <c r="P21" s="143">
        <v>350</v>
      </c>
      <c r="Q21" s="137"/>
      <c r="R21" s="405"/>
      <c r="S21" s="51">
        <v>3</v>
      </c>
      <c r="T21" s="51"/>
      <c r="U21" s="386"/>
      <c r="V21" s="143"/>
      <c r="W21" s="146"/>
      <c r="X21" s="405"/>
      <c r="Y21" s="51">
        <v>3</v>
      </c>
      <c r="Z21" s="51"/>
      <c r="AA21" s="512"/>
      <c r="AB21" s="139"/>
      <c r="AC21" s="137"/>
      <c r="AD21" s="132"/>
      <c r="AE21" s="719"/>
    </row>
    <row r="22" spans="1:31" ht="16.2" customHeight="1">
      <c r="A22" s="51">
        <v>3</v>
      </c>
      <c r="B22" s="51"/>
      <c r="C22" s="386"/>
      <c r="D22" s="143"/>
      <c r="E22" s="142"/>
      <c r="F22" s="405"/>
      <c r="G22" s="51">
        <v>3</v>
      </c>
      <c r="H22" s="51"/>
      <c r="I22" s="386"/>
      <c r="J22" s="143"/>
      <c r="K22" s="137"/>
      <c r="L22" s="405"/>
      <c r="M22" s="51">
        <v>3</v>
      </c>
      <c r="N22" s="51">
        <v>75223</v>
      </c>
      <c r="O22" s="386" t="s">
        <v>1302</v>
      </c>
      <c r="P22" s="143">
        <v>950</v>
      </c>
      <c r="Q22" s="137"/>
      <c r="R22" s="405"/>
      <c r="S22" s="51">
        <v>3</v>
      </c>
      <c r="T22" s="51"/>
      <c r="U22" s="386"/>
      <c r="V22" s="143"/>
      <c r="W22" s="146"/>
      <c r="X22" s="405"/>
      <c r="Y22" s="51">
        <v>3</v>
      </c>
      <c r="Z22" s="51"/>
      <c r="AA22" s="512"/>
      <c r="AB22" s="139"/>
      <c r="AC22" s="137"/>
      <c r="AD22" s="132"/>
      <c r="AE22" s="516"/>
    </row>
    <row r="23" spans="1:31" ht="16.2" customHeight="1" thickBot="1">
      <c r="A23" s="51">
        <v>3</v>
      </c>
      <c r="B23" s="51"/>
      <c r="C23" s="386"/>
      <c r="D23" s="143"/>
      <c r="E23" s="142"/>
      <c r="F23" s="405"/>
      <c r="G23" s="51">
        <v>3</v>
      </c>
      <c r="H23" s="51"/>
      <c r="I23" s="512"/>
      <c r="J23" s="139"/>
      <c r="K23" s="137"/>
      <c r="L23" s="132"/>
      <c r="M23" s="51">
        <v>3</v>
      </c>
      <c r="N23" s="51">
        <v>75225</v>
      </c>
      <c r="O23" s="386" t="s">
        <v>1318</v>
      </c>
      <c r="P23" s="143">
        <v>400</v>
      </c>
      <c r="Q23" s="137"/>
      <c r="R23" s="405"/>
      <c r="S23" s="51">
        <v>3</v>
      </c>
      <c r="T23" s="51"/>
      <c r="U23" s="386"/>
      <c r="V23" s="446"/>
      <c r="W23" s="146"/>
      <c r="X23" s="405"/>
      <c r="Y23" s="51">
        <v>3</v>
      </c>
      <c r="Z23" s="51"/>
      <c r="AA23" s="512"/>
      <c r="AB23" s="139"/>
      <c r="AC23" s="137"/>
      <c r="AD23" s="132"/>
      <c r="AE23" s="516"/>
    </row>
    <row r="24" spans="1:31" ht="16.2" customHeight="1" thickTop="1">
      <c r="A24" s="51">
        <v>4</v>
      </c>
      <c r="B24" s="51"/>
      <c r="C24" s="523" t="s">
        <v>692</v>
      </c>
      <c r="D24" s="535">
        <f xml:space="preserve"> SUM(D13:D23)</f>
        <v>18600</v>
      </c>
      <c r="E24" s="28"/>
      <c r="F24" s="75">
        <f>SUM(F13:F23)</f>
        <v>0</v>
      </c>
      <c r="G24" s="51">
        <v>4</v>
      </c>
      <c r="H24" s="51"/>
      <c r="I24" s="523" t="s">
        <v>692</v>
      </c>
      <c r="J24" s="535">
        <f xml:space="preserve"> SUM(J13:J23)</f>
        <v>15600</v>
      </c>
      <c r="K24" s="28"/>
      <c r="L24" s="75">
        <f>SUM(L13:L23)</f>
        <v>0</v>
      </c>
      <c r="M24" s="51">
        <v>4</v>
      </c>
      <c r="N24" s="51"/>
      <c r="O24" s="523" t="s">
        <v>692</v>
      </c>
      <c r="P24" s="535">
        <f xml:space="preserve"> SUM(P13:P23)</f>
        <v>9750</v>
      </c>
      <c r="Q24" s="28"/>
      <c r="R24" s="75">
        <f>SUM(R13:R23)</f>
        <v>0</v>
      </c>
      <c r="S24" s="51">
        <v>4</v>
      </c>
      <c r="T24" s="51"/>
      <c r="U24" s="523" t="s">
        <v>692</v>
      </c>
      <c r="V24" s="535">
        <f xml:space="preserve"> SUM(V13:V23)</f>
        <v>22250</v>
      </c>
      <c r="W24" s="28"/>
      <c r="X24" s="75">
        <f>SUM(X13:X23)</f>
        <v>0</v>
      </c>
      <c r="Y24" s="51">
        <v>4</v>
      </c>
      <c r="Z24" s="51"/>
      <c r="AA24" s="702" t="s">
        <v>692</v>
      </c>
      <c r="AB24" s="535">
        <f>SUM(AB13:AB23)</f>
        <v>0</v>
      </c>
      <c r="AC24" s="28"/>
      <c r="AD24" s="92">
        <f>SUM(AD13:AD23)</f>
        <v>0</v>
      </c>
      <c r="AE24" s="524">
        <f>D24+J24+P24+V24+AB24</f>
        <v>66200</v>
      </c>
    </row>
    <row r="25" spans="1:31" ht="16.2" customHeight="1">
      <c r="A25" s="51"/>
      <c r="B25" s="51"/>
      <c r="C25" s="18"/>
      <c r="D25" s="20"/>
      <c r="F25" s="189"/>
      <c r="G25" s="51"/>
      <c r="H25" s="51"/>
      <c r="I25" s="18"/>
      <c r="J25" s="20"/>
      <c r="L25" s="189"/>
      <c r="M25" s="51"/>
      <c r="N25" s="51"/>
      <c r="O25" s="18"/>
      <c r="P25" s="20"/>
      <c r="R25" s="189"/>
      <c r="S25" s="51"/>
      <c r="T25" s="51"/>
      <c r="U25" s="18"/>
      <c r="V25" s="20"/>
      <c r="X25" s="189"/>
      <c r="Y25" s="51"/>
      <c r="Z25" s="51"/>
      <c r="AA25" s="18"/>
      <c r="AB25" s="20"/>
      <c r="AD25" s="527" t="s">
        <v>692</v>
      </c>
      <c r="AE25" s="93">
        <f>A高槻市折込部数+M高槻市折込部数+S高槻市折込部数+Y高槻市折込部数+AD24</f>
        <v>0</v>
      </c>
    </row>
    <row r="26" spans="1:31" ht="16.2" customHeight="1">
      <c r="A26" s="51">
        <v>2</v>
      </c>
      <c r="B26" s="488" t="s">
        <v>1416</v>
      </c>
      <c r="C26" s="46" t="s">
        <v>664</v>
      </c>
      <c r="F26" s="224"/>
      <c r="G26" s="51">
        <v>2</v>
      </c>
      <c r="H26" s="488" t="s">
        <v>1416</v>
      </c>
      <c r="I26" s="489"/>
      <c r="J26" s="489"/>
      <c r="K26" s="217"/>
      <c r="L26" s="224"/>
      <c r="M26" s="51">
        <v>2</v>
      </c>
      <c r="N26" s="488" t="s">
        <v>1416</v>
      </c>
      <c r="O26" s="489"/>
      <c r="P26" s="489"/>
      <c r="Q26" s="217"/>
      <c r="R26" s="224"/>
      <c r="S26" s="51">
        <v>2</v>
      </c>
      <c r="T26" s="488" t="s">
        <v>1416</v>
      </c>
      <c r="X26" s="224"/>
      <c r="Y26" s="51">
        <v>2</v>
      </c>
      <c r="Z26" s="488" t="s">
        <v>1416</v>
      </c>
      <c r="AA26" s="489"/>
      <c r="AB26" s="489"/>
      <c r="AD26" s="90"/>
      <c r="AE26" s="707"/>
    </row>
    <row r="27" spans="1:31" ht="16.2" customHeight="1">
      <c r="A27" s="51">
        <v>3</v>
      </c>
      <c r="B27" s="51">
        <v>72219</v>
      </c>
      <c r="C27" s="441" t="s">
        <v>1097</v>
      </c>
      <c r="D27" s="148">
        <v>3500</v>
      </c>
      <c r="E27" s="177"/>
      <c r="F27" s="404"/>
      <c r="G27" s="51">
        <v>3</v>
      </c>
      <c r="H27" s="51">
        <v>73215</v>
      </c>
      <c r="I27" s="441" t="s">
        <v>1269</v>
      </c>
      <c r="J27" s="497" t="s">
        <v>1566</v>
      </c>
      <c r="K27" s="162"/>
      <c r="L27" s="404"/>
      <c r="M27" s="51">
        <v>3</v>
      </c>
      <c r="N27" s="51">
        <v>75227</v>
      </c>
      <c r="O27" s="441" t="s">
        <v>1317</v>
      </c>
      <c r="P27" s="148">
        <v>400</v>
      </c>
      <c r="Q27" s="177"/>
      <c r="R27" s="404"/>
      <c r="S27" s="51">
        <v>3</v>
      </c>
      <c r="T27" s="51"/>
      <c r="U27" s="703"/>
      <c r="V27" s="215"/>
      <c r="W27" s="177"/>
      <c r="X27" s="404"/>
      <c r="Y27" s="51">
        <v>3</v>
      </c>
      <c r="Z27" s="51"/>
      <c r="AA27" s="703"/>
      <c r="AB27" s="215"/>
      <c r="AC27" s="177"/>
      <c r="AD27" s="129"/>
      <c r="AE27" s="704"/>
    </row>
    <row r="28" spans="1:31" ht="16.2" customHeight="1" thickBot="1">
      <c r="A28" s="51">
        <v>3</v>
      </c>
      <c r="B28" s="51"/>
      <c r="C28" s="512"/>
      <c r="D28" s="139"/>
      <c r="E28" s="146"/>
      <c r="F28" s="132"/>
      <c r="G28" s="51">
        <v>3</v>
      </c>
      <c r="H28" s="51"/>
      <c r="I28" s="512"/>
      <c r="J28" s="265"/>
      <c r="K28" s="146"/>
      <c r="L28" s="132"/>
      <c r="M28" s="51">
        <v>3</v>
      </c>
      <c r="N28" s="51"/>
      <c r="O28" s="512"/>
      <c r="P28" s="139"/>
      <c r="Q28" s="146"/>
      <c r="R28" s="132"/>
      <c r="S28" s="51">
        <v>3</v>
      </c>
      <c r="T28" s="51"/>
      <c r="U28" s="512"/>
      <c r="V28" s="139"/>
      <c r="W28" s="146"/>
      <c r="X28" s="132"/>
      <c r="Y28" s="51">
        <v>3</v>
      </c>
      <c r="Z28" s="51"/>
      <c r="AA28" s="520"/>
      <c r="AB28" s="208"/>
      <c r="AC28" s="138"/>
      <c r="AD28" s="133"/>
      <c r="AE28" s="706"/>
    </row>
    <row r="29" spans="1:31" ht="16.2" customHeight="1" thickTop="1">
      <c r="A29" s="51">
        <v>4</v>
      </c>
      <c r="B29" s="51"/>
      <c r="C29" s="523" t="s">
        <v>692</v>
      </c>
      <c r="D29" s="535">
        <f xml:space="preserve"> SUM(D27:D28)</f>
        <v>3500</v>
      </c>
      <c r="E29" s="28"/>
      <c r="F29" s="75">
        <f>SUM(F27:F28)</f>
        <v>0</v>
      </c>
      <c r="G29" s="51">
        <v>4</v>
      </c>
      <c r="H29" s="51"/>
      <c r="I29" s="523" t="s">
        <v>692</v>
      </c>
      <c r="J29" s="535">
        <f xml:space="preserve"> SUM(J27:J28)</f>
        <v>0</v>
      </c>
      <c r="K29" s="28"/>
      <c r="L29" s="75">
        <f>SUM(L27:L28)</f>
        <v>0</v>
      </c>
      <c r="M29" s="51">
        <v>4</v>
      </c>
      <c r="N29" s="51"/>
      <c r="O29" s="523" t="s">
        <v>692</v>
      </c>
      <c r="P29" s="535">
        <f xml:space="preserve"> SUM(P27:P28)</f>
        <v>400</v>
      </c>
      <c r="Q29" s="28"/>
      <c r="R29" s="75">
        <f>SUM(R27:R28)</f>
        <v>0</v>
      </c>
      <c r="S29" s="51">
        <v>4</v>
      </c>
      <c r="T29" s="51"/>
      <c r="U29" s="523" t="s">
        <v>692</v>
      </c>
      <c r="V29" s="535">
        <f xml:space="preserve"> SUM(V27:V28)</f>
        <v>0</v>
      </c>
      <c r="W29" s="28"/>
      <c r="X29" s="75">
        <f>SUM(X27:X28)</f>
        <v>0</v>
      </c>
      <c r="Y29" s="51">
        <v>4</v>
      </c>
      <c r="Z29" s="51"/>
      <c r="AA29" s="523" t="s">
        <v>692</v>
      </c>
      <c r="AB29" s="535">
        <f>SUM(AB27:AB28)</f>
        <v>0</v>
      </c>
      <c r="AC29" s="28"/>
      <c r="AD29" s="92">
        <f>SUM(AD27:AD28)</f>
        <v>0</v>
      </c>
      <c r="AE29" s="524">
        <f>D29+J29+P29+V29+AB29</f>
        <v>3900</v>
      </c>
    </row>
    <row r="30" spans="1:31" ht="16.2" customHeight="1">
      <c r="A30" s="51"/>
      <c r="B30" s="51"/>
      <c r="C30" s="18"/>
      <c r="D30" s="20"/>
      <c r="F30" s="189"/>
      <c r="G30" s="51"/>
      <c r="H30" s="51"/>
      <c r="I30" s="18"/>
      <c r="J30" s="20"/>
      <c r="L30" s="189"/>
      <c r="M30" s="51"/>
      <c r="N30" s="51"/>
      <c r="O30" s="18"/>
      <c r="P30" s="20"/>
      <c r="R30" s="189"/>
      <c r="S30" s="51"/>
      <c r="T30" s="51"/>
      <c r="U30" s="18"/>
      <c r="V30" s="20"/>
      <c r="X30" s="189"/>
      <c r="Y30" s="51"/>
      <c r="Z30" s="51"/>
      <c r="AA30" s="18"/>
      <c r="AB30" s="20"/>
      <c r="AD30" s="527" t="s">
        <v>692</v>
      </c>
      <c r="AE30" s="93">
        <f>A三島郡折込部数+M三島郡折込部数+S三島郡折込部数+Y三島郡折込部数+AD29</f>
        <v>0</v>
      </c>
    </row>
    <row r="31" spans="1:31" ht="16.2" customHeight="1">
      <c r="A31" s="51">
        <v>2</v>
      </c>
      <c r="B31" s="488" t="s">
        <v>1417</v>
      </c>
      <c r="C31" s="46" t="s">
        <v>667</v>
      </c>
      <c r="F31" s="224"/>
      <c r="G31" s="51">
        <v>2</v>
      </c>
      <c r="H31" s="488" t="s">
        <v>1417</v>
      </c>
      <c r="I31" s="489"/>
      <c r="J31" s="489"/>
      <c r="K31" s="217"/>
      <c r="L31" s="224"/>
      <c r="M31" s="51">
        <v>2</v>
      </c>
      <c r="N31" s="488" t="s">
        <v>1417</v>
      </c>
      <c r="O31" s="489"/>
      <c r="P31" s="489"/>
      <c r="Q31" s="217"/>
      <c r="R31" s="489"/>
      <c r="S31" s="51">
        <v>2</v>
      </c>
      <c r="T31" s="488" t="s">
        <v>1417</v>
      </c>
      <c r="U31" s="489"/>
      <c r="V31" s="489"/>
      <c r="W31" s="217"/>
      <c r="X31" s="489"/>
      <c r="Y31" s="51">
        <v>2</v>
      </c>
      <c r="Z31" s="488" t="s">
        <v>1417</v>
      </c>
      <c r="AA31" s="489"/>
      <c r="AB31" s="217"/>
      <c r="AC31"/>
      <c r="AD31" s="90"/>
      <c r="AE31" s="707"/>
    </row>
    <row r="32" spans="1:31" ht="16.2" customHeight="1">
      <c r="A32" s="51">
        <v>3</v>
      </c>
      <c r="B32" s="51">
        <v>72223</v>
      </c>
      <c r="C32" s="441" t="s">
        <v>1473</v>
      </c>
      <c r="D32" s="267">
        <v>600</v>
      </c>
      <c r="E32" s="177"/>
      <c r="F32" s="404"/>
      <c r="G32" s="51">
        <v>3</v>
      </c>
      <c r="H32" s="51">
        <v>73217</v>
      </c>
      <c r="I32" s="690" t="s">
        <v>668</v>
      </c>
      <c r="J32" s="714">
        <v>1350</v>
      </c>
      <c r="K32" s="162"/>
      <c r="L32" s="404"/>
      <c r="M32" s="51">
        <v>3</v>
      </c>
      <c r="N32" s="51">
        <v>75229</v>
      </c>
      <c r="O32" s="690" t="s">
        <v>669</v>
      </c>
      <c r="P32" s="714">
        <v>1150</v>
      </c>
      <c r="Q32" s="162"/>
      <c r="R32" s="404"/>
      <c r="S32" s="51">
        <v>3</v>
      </c>
      <c r="T32" s="51">
        <v>74273</v>
      </c>
      <c r="U32" s="441" t="s">
        <v>1473</v>
      </c>
      <c r="V32" s="148">
        <v>950</v>
      </c>
      <c r="W32" s="177"/>
      <c r="X32" s="404"/>
      <c r="Y32" s="51">
        <v>3</v>
      </c>
      <c r="Z32" s="51"/>
      <c r="AA32" s="709"/>
      <c r="AB32" s="710"/>
      <c r="AC32" s="162"/>
      <c r="AD32" s="160"/>
      <c r="AE32" s="704"/>
    </row>
    <row r="33" spans="1:31" ht="16.2" customHeight="1">
      <c r="A33" s="51">
        <v>3</v>
      </c>
      <c r="B33" s="51">
        <v>72225</v>
      </c>
      <c r="C33" s="386" t="s">
        <v>512</v>
      </c>
      <c r="D33" s="143">
        <v>2450</v>
      </c>
      <c r="E33" s="146"/>
      <c r="F33" s="405"/>
      <c r="G33" s="51">
        <v>3</v>
      </c>
      <c r="H33" s="51">
        <v>73219</v>
      </c>
      <c r="I33" s="386" t="s">
        <v>626</v>
      </c>
      <c r="J33" s="143">
        <v>600</v>
      </c>
      <c r="K33" s="146"/>
      <c r="L33" s="405"/>
      <c r="M33" s="51">
        <v>3</v>
      </c>
      <c r="N33" s="51">
        <v>75231</v>
      </c>
      <c r="O33" s="386" t="s">
        <v>668</v>
      </c>
      <c r="P33" s="143">
        <v>750</v>
      </c>
      <c r="Q33" s="146"/>
      <c r="R33" s="405"/>
      <c r="S33" s="51">
        <v>3</v>
      </c>
      <c r="T33" s="51">
        <v>74274</v>
      </c>
      <c r="U33" s="386" t="s">
        <v>1478</v>
      </c>
      <c r="V33" s="143">
        <v>900</v>
      </c>
      <c r="W33" s="146"/>
      <c r="X33" s="405"/>
      <c r="Y33" s="51">
        <v>3</v>
      </c>
      <c r="Z33" s="51"/>
      <c r="AA33" s="512"/>
      <c r="AB33" s="139"/>
      <c r="AC33" s="137"/>
      <c r="AD33" s="132"/>
      <c r="AE33" s="706"/>
    </row>
    <row r="34" spans="1:31" ht="16.2" customHeight="1">
      <c r="A34" s="51">
        <v>3</v>
      </c>
      <c r="B34" s="51"/>
      <c r="C34" s="386"/>
      <c r="D34" s="353"/>
      <c r="E34" s="146"/>
      <c r="F34" s="405"/>
      <c r="G34" s="51">
        <v>3</v>
      </c>
      <c r="H34" s="51">
        <v>73221</v>
      </c>
      <c r="I34" s="716" t="s">
        <v>669</v>
      </c>
      <c r="J34" s="583">
        <v>1950</v>
      </c>
      <c r="K34" s="196"/>
      <c r="L34" s="405"/>
      <c r="M34" s="51">
        <v>3</v>
      </c>
      <c r="N34" s="51">
        <v>75233</v>
      </c>
      <c r="O34" s="386" t="s">
        <v>670</v>
      </c>
      <c r="P34" s="583">
        <v>1750</v>
      </c>
      <c r="Q34" s="196"/>
      <c r="R34" s="405"/>
      <c r="S34" s="51">
        <v>3</v>
      </c>
      <c r="T34" s="51">
        <v>74275</v>
      </c>
      <c r="U34" s="386" t="s">
        <v>990</v>
      </c>
      <c r="V34" s="143">
        <v>1900</v>
      </c>
      <c r="W34" s="197"/>
      <c r="X34" s="405"/>
      <c r="Y34" s="51">
        <v>3</v>
      </c>
      <c r="Z34" s="51"/>
      <c r="AA34" s="520"/>
      <c r="AB34" s="208"/>
      <c r="AC34" s="138"/>
      <c r="AD34" s="133"/>
      <c r="AE34" s="719"/>
    </row>
    <row r="35" spans="1:31" ht="16.2" customHeight="1">
      <c r="A35" s="51">
        <v>3</v>
      </c>
      <c r="B35" s="51"/>
      <c r="C35" s="512"/>
      <c r="D35" s="139"/>
      <c r="E35" s="146"/>
      <c r="F35" s="132"/>
      <c r="G35" s="51">
        <v>3</v>
      </c>
      <c r="H35" s="51">
        <v>73223</v>
      </c>
      <c r="I35" s="386" t="s">
        <v>629</v>
      </c>
      <c r="J35" s="143">
        <v>1200</v>
      </c>
      <c r="K35" s="137"/>
      <c r="L35" s="405"/>
      <c r="M35" s="51">
        <v>3</v>
      </c>
      <c r="N35" s="51"/>
      <c r="O35" s="386"/>
      <c r="P35" s="143"/>
      <c r="Q35" s="137"/>
      <c r="R35" s="405"/>
      <c r="S35" s="51">
        <v>3</v>
      </c>
      <c r="T35" s="51">
        <v>74277</v>
      </c>
      <c r="U35" s="386" t="s">
        <v>629</v>
      </c>
      <c r="V35" s="143">
        <v>750</v>
      </c>
      <c r="W35" s="146"/>
      <c r="X35" s="405"/>
      <c r="Y35" s="51">
        <v>3</v>
      </c>
      <c r="Z35" s="51"/>
      <c r="AA35" s="512"/>
      <c r="AB35" s="139"/>
      <c r="AC35" s="137"/>
      <c r="AD35" s="132"/>
      <c r="AE35" s="720"/>
    </row>
    <row r="36" spans="1:31" ht="16.2" customHeight="1" thickBot="1">
      <c r="A36" s="51">
        <v>3</v>
      </c>
      <c r="B36" s="51"/>
      <c r="C36" s="512"/>
      <c r="D36" s="139"/>
      <c r="E36" s="146"/>
      <c r="F36" s="161"/>
      <c r="G36" s="51">
        <v>3</v>
      </c>
      <c r="H36" s="51"/>
      <c r="I36" s="701"/>
      <c r="J36" s="209"/>
      <c r="K36" s="253"/>
      <c r="L36" s="134"/>
      <c r="M36" s="51">
        <v>3</v>
      </c>
      <c r="N36" s="51"/>
      <c r="O36" s="701"/>
      <c r="P36" s="209"/>
      <c r="Q36" s="253"/>
      <c r="R36" s="134"/>
      <c r="S36" s="51">
        <v>3</v>
      </c>
      <c r="T36" s="51"/>
      <c r="U36" s="701"/>
      <c r="V36" s="209"/>
      <c r="W36" s="253"/>
      <c r="X36" s="134"/>
      <c r="Y36" s="51">
        <v>3</v>
      </c>
      <c r="Z36" s="51"/>
      <c r="AA36" s="701"/>
      <c r="AB36" s="209"/>
      <c r="AC36" s="253"/>
      <c r="AD36" s="258"/>
      <c r="AE36" s="711"/>
    </row>
    <row r="37" spans="1:31" ht="16.2" customHeight="1" thickTop="1">
      <c r="A37" s="51">
        <v>4</v>
      </c>
      <c r="B37" s="51"/>
      <c r="C37" s="523" t="s">
        <v>692</v>
      </c>
      <c r="D37" s="535">
        <f>SUM(D32:D36)</f>
        <v>3050</v>
      </c>
      <c r="E37" s="28"/>
      <c r="F37" s="75">
        <f>SUM(F32:F36)</f>
        <v>0</v>
      </c>
      <c r="G37" s="51">
        <v>4</v>
      </c>
      <c r="H37" s="51"/>
      <c r="I37" s="712" t="s">
        <v>692</v>
      </c>
      <c r="J37" s="713">
        <f>SUM(J32:J36)</f>
        <v>5100</v>
      </c>
      <c r="K37" s="255"/>
      <c r="L37" s="256">
        <f>SUM(L32:L36)</f>
        <v>0</v>
      </c>
      <c r="M37" s="51">
        <v>4</v>
      </c>
      <c r="N37" s="51"/>
      <c r="O37" s="712" t="s">
        <v>692</v>
      </c>
      <c r="P37" s="713">
        <f>SUM(P32:P36)</f>
        <v>3650</v>
      </c>
      <c r="Q37" s="255"/>
      <c r="R37" s="256">
        <f>SUM(R32:R36)</f>
        <v>0</v>
      </c>
      <c r="S37" s="51">
        <v>4</v>
      </c>
      <c r="T37" s="51"/>
      <c r="U37" s="712" t="s">
        <v>692</v>
      </c>
      <c r="V37" s="713">
        <f>SUM(V32:V36)</f>
        <v>4500</v>
      </c>
      <c r="W37" s="255"/>
      <c r="X37" s="256">
        <f>SUM(X32:X36)</f>
        <v>0</v>
      </c>
      <c r="Y37" s="51">
        <v>4</v>
      </c>
      <c r="Z37" s="51"/>
      <c r="AA37" s="712" t="s">
        <v>692</v>
      </c>
      <c r="AB37" s="713">
        <f>SUM(AB32:AB36)</f>
        <v>0</v>
      </c>
      <c r="AC37" s="255"/>
      <c r="AD37" s="257">
        <f>SUM(AD32:AD36)</f>
        <v>0</v>
      </c>
      <c r="AE37" s="707">
        <f>D37+J37+P37+V37+AB37</f>
        <v>16300</v>
      </c>
    </row>
    <row r="38" spans="1:31" ht="16.2" customHeight="1">
      <c r="A38" s="51">
        <v>9</v>
      </c>
      <c r="B38" s="51"/>
      <c r="C38" s="13"/>
      <c r="D38" s="13"/>
      <c r="E38" s="13"/>
      <c r="F38" s="13"/>
      <c r="G38" s="51">
        <v>9</v>
      </c>
      <c r="H38" s="51"/>
      <c r="I38" s="13"/>
      <c r="K38" s="13"/>
      <c r="L38" s="13"/>
      <c r="M38" s="51">
        <v>9</v>
      </c>
      <c r="N38" s="51"/>
      <c r="O38" s="489"/>
      <c r="P38" s="489"/>
      <c r="Q38" s="217"/>
      <c r="R38" s="224"/>
      <c r="S38" s="51">
        <v>9</v>
      </c>
      <c r="T38" s="51"/>
      <c r="U38" s="489"/>
      <c r="V38" s="489"/>
      <c r="W38" s="217"/>
      <c r="X38" s="224"/>
      <c r="Y38" s="51">
        <v>9</v>
      </c>
      <c r="Z38" s="51"/>
      <c r="AA38" s="489"/>
      <c r="AB38" s="489"/>
      <c r="AC38" s="217"/>
      <c r="AD38" s="527" t="s">
        <v>692</v>
      </c>
      <c r="AE38" s="100">
        <f>A摂津市折込部数+M摂津市折込部数+S摂津市折込部数+Y摂津市折込部数+AD37</f>
        <v>0</v>
      </c>
    </row>
    <row r="39" spans="1:31" ht="16.2" customHeight="1">
      <c r="L39" s="224"/>
      <c r="M39" s="224"/>
      <c r="N39" s="224"/>
      <c r="O39" s="489"/>
      <c r="P39" s="489"/>
      <c r="Q39" s="217"/>
      <c r="R39" s="224"/>
      <c r="S39" s="224"/>
      <c r="T39" s="224"/>
      <c r="U39" s="489"/>
      <c r="V39" s="489"/>
      <c r="W39" s="217"/>
      <c r="X39" s="224"/>
      <c r="Y39" s="224"/>
      <c r="Z39" s="224"/>
      <c r="AA39" s="489"/>
      <c r="AB39" s="489"/>
      <c r="AC39" s="217"/>
      <c r="AD39" s="224"/>
      <c r="AE39" s="489"/>
    </row>
    <row r="40" spans="1:31" ht="16.2" customHeight="1">
      <c r="C40" s="489"/>
      <c r="D40" s="489"/>
      <c r="E40" s="217"/>
      <c r="F40" s="224"/>
      <c r="G40" s="224"/>
      <c r="H40" s="224"/>
      <c r="I40" s="489"/>
      <c r="J40" s="489"/>
      <c r="K40" s="217"/>
      <c r="L40" s="224"/>
      <c r="M40" s="224"/>
      <c r="N40" s="224"/>
      <c r="O40" s="489"/>
      <c r="P40" s="489"/>
      <c r="Q40" s="217"/>
      <c r="R40" s="224"/>
      <c r="S40" s="224"/>
      <c r="T40" s="224"/>
      <c r="U40" s="489"/>
      <c r="V40" s="489"/>
      <c r="W40" s="217"/>
      <c r="X40" s="224"/>
      <c r="Y40" s="224"/>
      <c r="Z40" s="224"/>
      <c r="AA40" s="489"/>
      <c r="AB40" s="489"/>
      <c r="AC40" s="217"/>
      <c r="AD40" s="224"/>
      <c r="AE40" s="489"/>
    </row>
    <row r="41" spans="1:31" ht="16.2" customHeight="1">
      <c r="C41" s="489"/>
      <c r="D41" s="489"/>
      <c r="E41" s="217"/>
      <c r="F41" s="224"/>
      <c r="G41" s="224"/>
      <c r="H41" s="224"/>
      <c r="I41" s="489"/>
      <c r="J41" s="489"/>
      <c r="K41" s="217"/>
      <c r="L41" s="224"/>
      <c r="M41" s="224"/>
      <c r="N41" s="224"/>
      <c r="O41" s="489"/>
      <c r="P41" s="489"/>
      <c r="Q41" s="217"/>
      <c r="R41" s="224"/>
      <c r="S41" s="224"/>
      <c r="T41" s="224"/>
      <c r="U41" s="489"/>
      <c r="V41" s="489"/>
      <c r="W41" s="217"/>
      <c r="X41" s="224"/>
      <c r="Y41" s="224"/>
      <c r="Z41" s="224"/>
      <c r="AA41" s="489"/>
      <c r="AB41" s="489"/>
      <c r="AC41" s="217"/>
      <c r="AD41" s="224"/>
      <c r="AE41" s="489"/>
    </row>
    <row r="42" spans="1:31" ht="16.2" customHeight="1">
      <c r="C42" s="489"/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17"/>
      <c r="R42" s="224"/>
      <c r="S42" s="224"/>
      <c r="T42" s="224"/>
      <c r="U42" s="489"/>
      <c r="V42" s="489"/>
      <c r="W42" s="217"/>
      <c r="X42" s="224"/>
      <c r="Y42" s="224"/>
      <c r="Z42" s="224"/>
      <c r="AA42" s="489"/>
      <c r="AB42" s="489"/>
      <c r="AC42" s="217"/>
      <c r="AD42" s="224"/>
      <c r="AE42" s="489"/>
    </row>
    <row r="43" spans="1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17"/>
      <c r="R43" s="224"/>
      <c r="S43" s="224"/>
      <c r="T43" s="224"/>
      <c r="U43" s="489"/>
      <c r="V43" s="489"/>
      <c r="W43" s="217"/>
      <c r="X43" s="224"/>
      <c r="Y43" s="224"/>
      <c r="Z43" s="224"/>
      <c r="AA43" s="489"/>
      <c r="AB43" s="489"/>
      <c r="AC43" s="217"/>
      <c r="AD43" s="224"/>
      <c r="AE43" s="489"/>
    </row>
    <row r="44" spans="1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17"/>
      <c r="R44" s="224"/>
      <c r="S44" s="224"/>
      <c r="T44" s="224"/>
      <c r="U44" s="489"/>
      <c r="V44" s="489"/>
      <c r="W44" s="217"/>
      <c r="X44" s="224"/>
      <c r="Y44" s="224"/>
      <c r="Z44" s="224"/>
      <c r="AA44" s="489"/>
      <c r="AB44" s="489"/>
      <c r="AC44" s="217"/>
      <c r="AD44" s="224"/>
      <c r="AE44" s="489"/>
    </row>
    <row r="45" spans="1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17"/>
      <c r="R45" s="224"/>
      <c r="S45" s="224"/>
      <c r="T45" s="224"/>
      <c r="U45" s="489"/>
      <c r="V45" s="489"/>
      <c r="W45" s="217"/>
      <c r="X45" s="224"/>
      <c r="Y45" s="224"/>
      <c r="Z45" s="224"/>
      <c r="AA45" s="489"/>
      <c r="AB45" s="489"/>
      <c r="AC45" s="217"/>
      <c r="AD45" s="224"/>
      <c r="AE45" s="489"/>
    </row>
    <row r="46" spans="1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17"/>
      <c r="R46" s="224"/>
      <c r="S46" s="224"/>
      <c r="T46" s="224"/>
      <c r="U46" s="489"/>
      <c r="V46" s="489"/>
      <c r="W46" s="217"/>
      <c r="X46" s="224"/>
      <c r="Y46" s="224"/>
      <c r="Z46" s="224"/>
      <c r="AA46" s="489"/>
      <c r="AB46" s="489"/>
      <c r="AC46" s="217"/>
      <c r="AD46" s="224"/>
      <c r="AE46" s="489"/>
    </row>
    <row r="47" spans="1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17"/>
      <c r="R47" s="224"/>
      <c r="S47" s="224"/>
      <c r="T47" s="224"/>
      <c r="U47" s="489"/>
      <c r="V47" s="489"/>
      <c r="W47" s="217"/>
      <c r="X47" s="224"/>
      <c r="Y47" s="224"/>
      <c r="Z47" s="224"/>
      <c r="AA47" s="489"/>
      <c r="AB47" s="489"/>
      <c r="AC47" s="217"/>
      <c r="AD47" s="224"/>
      <c r="AE47" s="489"/>
    </row>
    <row r="48" spans="1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17"/>
      <c r="R48" s="224"/>
      <c r="S48" s="224"/>
      <c r="T48" s="224"/>
      <c r="U48" s="489"/>
      <c r="V48" s="489"/>
      <c r="W48" s="217"/>
      <c r="X48" s="224"/>
      <c r="Y48" s="224"/>
      <c r="Z48" s="224"/>
      <c r="AA48" s="489"/>
      <c r="AB48" s="489"/>
      <c r="AC48" s="217"/>
      <c r="AD48" s="224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17"/>
      <c r="R49" s="224"/>
      <c r="S49" s="224"/>
      <c r="T49" s="224"/>
      <c r="U49" s="489"/>
      <c r="V49" s="489"/>
      <c r="W49" s="217"/>
      <c r="X49" s="224"/>
      <c r="Y49" s="224"/>
      <c r="Z49" s="224"/>
      <c r="AA49" s="489"/>
      <c r="AB49" s="489"/>
      <c r="AC49" s="217"/>
      <c r="AD49" s="224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17"/>
      <c r="R50" s="224"/>
      <c r="S50" s="224"/>
      <c r="T50" s="224"/>
      <c r="U50" s="489"/>
      <c r="V50" s="489"/>
      <c r="W50" s="217"/>
      <c r="X50" s="224"/>
      <c r="Y50" s="224"/>
      <c r="Z50" s="224"/>
      <c r="AA50" s="489"/>
      <c r="AB50" s="489"/>
      <c r="AC50" s="217"/>
      <c r="AD50" s="224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17"/>
      <c r="R51" s="224"/>
      <c r="S51" s="224"/>
      <c r="T51" s="224"/>
      <c r="U51" s="489"/>
      <c r="V51" s="489"/>
      <c r="W51" s="217"/>
      <c r="X51" s="224"/>
      <c r="Y51" s="224"/>
      <c r="Z51" s="224"/>
      <c r="AA51" s="489"/>
      <c r="AB51" s="489"/>
      <c r="AC51" s="217"/>
      <c r="AD51" s="224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17"/>
      <c r="R52" s="224"/>
      <c r="S52" s="224"/>
      <c r="T52" s="224"/>
      <c r="U52" s="489"/>
      <c r="V52" s="489"/>
      <c r="W52" s="217"/>
      <c r="X52" s="224"/>
      <c r="Y52" s="224"/>
      <c r="Z52" s="224"/>
      <c r="AA52" s="489"/>
      <c r="AB52" s="489"/>
      <c r="AC52" s="217"/>
      <c r="AD52" s="224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17"/>
      <c r="R53" s="224"/>
      <c r="S53" s="224"/>
      <c r="T53" s="224"/>
      <c r="U53" s="489"/>
      <c r="V53" s="489"/>
      <c r="W53" s="217"/>
      <c r="X53" s="224"/>
      <c r="Y53" s="224"/>
      <c r="Z53" s="224"/>
      <c r="AA53" s="489"/>
      <c r="AB53" s="489"/>
      <c r="AC53" s="217"/>
      <c r="AD53" s="224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17"/>
      <c r="R54" s="224"/>
      <c r="S54" s="224"/>
      <c r="T54" s="224"/>
      <c r="U54" s="489"/>
      <c r="V54" s="489"/>
      <c r="W54" s="217"/>
      <c r="X54" s="224"/>
      <c r="Y54" s="224"/>
      <c r="Z54" s="224"/>
      <c r="AA54" s="489"/>
      <c r="AB54" s="489"/>
      <c r="AC54" s="217"/>
      <c r="AD54" s="224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17"/>
      <c r="R55" s="224"/>
      <c r="S55" s="224"/>
      <c r="T55" s="224"/>
      <c r="U55" s="489"/>
      <c r="V55" s="489"/>
      <c r="W55" s="217"/>
      <c r="X55" s="224"/>
      <c r="Y55" s="224"/>
      <c r="Z55" s="224"/>
      <c r="AA55" s="489"/>
      <c r="AB55" s="489"/>
      <c r="AC55" s="217"/>
      <c r="AD55" s="224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17"/>
      <c r="R56" s="224"/>
      <c r="S56" s="224"/>
      <c r="T56" s="224"/>
      <c r="U56" s="489"/>
      <c r="V56" s="489"/>
      <c r="W56" s="217"/>
      <c r="X56" s="224"/>
      <c r="Y56" s="224"/>
      <c r="Z56" s="224"/>
      <c r="AA56" s="489"/>
      <c r="AB56" s="489"/>
      <c r="AC56" s="217"/>
      <c r="AD56" s="224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17"/>
      <c r="R57" s="224"/>
      <c r="S57" s="224"/>
      <c r="T57" s="224"/>
      <c r="U57" s="489"/>
      <c r="V57" s="489"/>
      <c r="W57" s="217"/>
      <c r="X57" s="224"/>
      <c r="Y57" s="224"/>
      <c r="Z57" s="224"/>
      <c r="AA57" s="489"/>
      <c r="AB57" s="489"/>
      <c r="AC57" s="217"/>
      <c r="AD57" s="224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17"/>
      <c r="R58" s="224"/>
      <c r="S58" s="224"/>
      <c r="T58" s="224"/>
      <c r="U58" s="489"/>
      <c r="V58" s="489"/>
      <c r="W58" s="217"/>
      <c r="X58" s="224"/>
      <c r="Y58" s="224"/>
      <c r="Z58" s="224"/>
      <c r="AA58" s="489"/>
      <c r="AB58" s="489"/>
      <c r="AC58" s="217"/>
      <c r="AD58" s="224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17"/>
      <c r="R59" s="224"/>
      <c r="S59" s="224"/>
      <c r="T59" s="224"/>
      <c r="U59" s="489"/>
      <c r="V59" s="489"/>
      <c r="W59" s="217"/>
      <c r="X59" s="224"/>
      <c r="Y59" s="224"/>
      <c r="Z59" s="224"/>
      <c r="AA59" s="489"/>
      <c r="AB59" s="489"/>
      <c r="AC59" s="217"/>
      <c r="AD59" s="224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17"/>
      <c r="R60" s="224"/>
      <c r="S60" s="224"/>
      <c r="T60" s="224"/>
      <c r="U60" s="489"/>
      <c r="V60" s="489"/>
      <c r="W60" s="217"/>
      <c r="X60" s="224"/>
      <c r="Y60" s="224"/>
      <c r="Z60" s="224"/>
      <c r="AA60" s="489"/>
      <c r="AB60" s="489"/>
      <c r="AC60" s="217"/>
      <c r="AD60" s="224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17"/>
      <c r="R61" s="224"/>
      <c r="S61" s="224"/>
      <c r="T61" s="224"/>
      <c r="U61" s="489"/>
      <c r="V61" s="489"/>
      <c r="W61" s="217"/>
      <c r="X61" s="224"/>
      <c r="Y61" s="224"/>
      <c r="Z61" s="224"/>
      <c r="AA61" s="489"/>
      <c r="AB61" s="489"/>
      <c r="AC61" s="217"/>
      <c r="AD61" s="224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17"/>
      <c r="R62" s="224"/>
      <c r="S62" s="224"/>
      <c r="T62" s="224"/>
      <c r="U62" s="489"/>
      <c r="V62" s="489"/>
      <c r="W62" s="217"/>
      <c r="X62" s="224"/>
      <c r="Y62" s="224"/>
      <c r="Z62" s="224"/>
      <c r="AA62" s="489"/>
      <c r="AB62" s="489"/>
      <c r="AC62" s="217"/>
      <c r="AD62" s="224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17"/>
      <c r="R63" s="224"/>
      <c r="S63" s="224"/>
      <c r="T63" s="224"/>
      <c r="U63" s="489"/>
      <c r="V63" s="489"/>
      <c r="W63" s="217"/>
      <c r="X63" s="224"/>
      <c r="Y63" s="224"/>
      <c r="Z63" s="224"/>
      <c r="AA63" s="489"/>
      <c r="AB63" s="489"/>
      <c r="AC63" s="217"/>
      <c r="AD63" s="224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17"/>
      <c r="R64" s="224"/>
      <c r="S64" s="224"/>
      <c r="T64" s="224"/>
      <c r="U64" s="489"/>
      <c r="V64" s="489"/>
      <c r="W64" s="217"/>
      <c r="X64" s="224"/>
      <c r="Y64" s="224"/>
      <c r="Z64" s="224"/>
      <c r="AA64" s="489"/>
      <c r="AB64" s="489"/>
      <c r="AC64" s="217"/>
      <c r="AD64" s="224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17"/>
      <c r="R65" s="224"/>
      <c r="S65" s="224"/>
      <c r="T65" s="224"/>
      <c r="U65" s="489"/>
      <c r="V65" s="489"/>
      <c r="W65" s="217"/>
      <c r="X65" s="224"/>
      <c r="Y65" s="224"/>
      <c r="Z65" s="224"/>
      <c r="AA65" s="489"/>
      <c r="AB65" s="489"/>
      <c r="AC65" s="217"/>
      <c r="AD65" s="224"/>
      <c r="AE65" s="489"/>
    </row>
    <row r="66" spans="3:31" ht="16.2" customHeight="1">
      <c r="C66" s="489"/>
      <c r="D66" s="489"/>
      <c r="E66" s="217"/>
      <c r="F66" s="224"/>
      <c r="G66" s="224"/>
      <c r="H66" s="224"/>
      <c r="I66" s="489"/>
      <c r="J66" s="489"/>
      <c r="K66" s="217"/>
      <c r="L66" s="224"/>
      <c r="M66" s="224"/>
      <c r="N66" s="224"/>
      <c r="O66" s="489"/>
      <c r="P66" s="489"/>
      <c r="Q66" s="217"/>
      <c r="R66" s="224"/>
      <c r="S66" s="224"/>
      <c r="T66" s="224"/>
      <c r="U66" s="489"/>
      <c r="V66" s="489"/>
      <c r="W66" s="217"/>
      <c r="X66" s="224"/>
      <c r="Y66" s="224"/>
      <c r="Z66" s="224"/>
      <c r="AA66" s="489"/>
      <c r="AB66" s="489"/>
      <c r="AC66" s="217"/>
      <c r="AD66" s="224"/>
      <c r="AE66" s="489"/>
    </row>
    <row r="67" spans="3:31" ht="16.2" customHeight="1">
      <c r="C67" s="489"/>
      <c r="D67" s="489"/>
      <c r="E67" s="217"/>
      <c r="F67" s="224"/>
      <c r="G67" s="224"/>
      <c r="H67" s="224"/>
      <c r="I67" s="489"/>
      <c r="J67" s="489"/>
      <c r="K67" s="217"/>
      <c r="L67" s="224"/>
      <c r="M67" s="224"/>
      <c r="N67" s="224"/>
      <c r="O67" s="489"/>
      <c r="P67" s="489"/>
      <c r="Q67" s="217"/>
      <c r="R67" s="224"/>
      <c r="S67" s="224"/>
      <c r="T67" s="224"/>
      <c r="U67" s="489"/>
      <c r="V67" s="489"/>
      <c r="W67" s="217"/>
      <c r="X67" s="224"/>
      <c r="Y67" s="224"/>
      <c r="Z67" s="224"/>
      <c r="AA67" s="489"/>
      <c r="AB67" s="489"/>
      <c r="AC67" s="217"/>
      <c r="AD67" s="224"/>
      <c r="AE67" s="489"/>
    </row>
    <row r="68" spans="3:31" ht="16.2" customHeight="1">
      <c r="C68" s="489"/>
      <c r="D68" s="489"/>
      <c r="E68" s="217"/>
      <c r="F68" s="224"/>
      <c r="G68" s="224"/>
      <c r="H68" s="224"/>
      <c r="I68" s="489"/>
      <c r="J68" s="489"/>
      <c r="K68" s="217"/>
      <c r="L68" s="224"/>
      <c r="M68" s="224"/>
      <c r="N68" s="224"/>
      <c r="O68" s="489"/>
      <c r="P68" s="489"/>
      <c r="Q68" s="217"/>
      <c r="R68" s="224"/>
      <c r="S68" s="224"/>
      <c r="T68" s="224"/>
      <c r="U68" s="489"/>
      <c r="V68" s="489"/>
      <c r="W68" s="217"/>
      <c r="X68" s="224"/>
      <c r="Y68" s="224"/>
      <c r="Z68" s="224"/>
      <c r="AA68" s="489"/>
      <c r="AB68" s="489"/>
      <c r="AC68" s="217"/>
      <c r="AD68" s="224"/>
      <c r="AE68" s="489"/>
    </row>
    <row r="69" spans="3:31" ht="16.2" customHeight="1">
      <c r="C69" s="489"/>
      <c r="D69" s="489"/>
      <c r="E69" s="217"/>
      <c r="F69" s="224"/>
      <c r="G69" s="224"/>
      <c r="H69" s="224"/>
      <c r="I69" s="489"/>
      <c r="J69" s="489"/>
      <c r="K69" s="217"/>
      <c r="L69" s="224"/>
      <c r="M69" s="224"/>
      <c r="N69" s="224"/>
      <c r="O69" s="489"/>
      <c r="P69" s="489"/>
      <c r="Q69" s="217"/>
      <c r="R69" s="224"/>
      <c r="S69" s="224"/>
      <c r="T69" s="224"/>
      <c r="U69" s="489"/>
      <c r="V69" s="489"/>
      <c r="W69" s="217"/>
      <c r="X69" s="224"/>
      <c r="Y69" s="224"/>
      <c r="Z69" s="224"/>
      <c r="AA69" s="489"/>
      <c r="AB69" s="489"/>
      <c r="AC69" s="217"/>
      <c r="AD69" s="224"/>
      <c r="AE69" s="489"/>
    </row>
    <row r="70" spans="3:31" ht="16.2" customHeight="1">
      <c r="C70" s="489"/>
      <c r="D70" s="489"/>
      <c r="E70" s="217"/>
      <c r="F70" s="224"/>
      <c r="G70" s="224"/>
      <c r="H70" s="224"/>
      <c r="I70" s="489"/>
      <c r="J70" s="489"/>
      <c r="K70" s="217"/>
      <c r="L70" s="224"/>
      <c r="M70" s="224"/>
      <c r="N70" s="224"/>
      <c r="O70" s="489"/>
      <c r="P70" s="489"/>
      <c r="Q70" s="217"/>
      <c r="R70" s="224"/>
      <c r="S70" s="224"/>
      <c r="T70" s="224"/>
      <c r="U70" s="489"/>
      <c r="V70" s="489"/>
      <c r="W70" s="217"/>
      <c r="X70" s="224"/>
      <c r="Y70" s="224"/>
      <c r="Z70" s="224"/>
      <c r="AA70" s="489"/>
      <c r="AB70" s="489"/>
      <c r="AC70" s="217"/>
      <c r="AD70" s="224"/>
      <c r="AE70" s="489"/>
    </row>
    <row r="71" spans="3:31" ht="16.2" customHeight="1">
      <c r="C71" s="489"/>
      <c r="D71" s="489"/>
      <c r="E71" s="217"/>
      <c r="F71" s="224"/>
      <c r="G71" s="224"/>
      <c r="H71" s="224"/>
      <c r="I71" s="489"/>
      <c r="J71" s="489"/>
      <c r="K71" s="217"/>
      <c r="L71" s="224"/>
      <c r="M71" s="224"/>
      <c r="N71" s="224"/>
      <c r="O71" s="489"/>
      <c r="P71" s="489"/>
      <c r="Q71" s="217"/>
      <c r="R71" s="224"/>
      <c r="S71" s="224"/>
      <c r="T71" s="224"/>
      <c r="U71" s="489"/>
      <c r="V71" s="489"/>
      <c r="W71" s="217"/>
      <c r="X71" s="224"/>
      <c r="Y71" s="224"/>
      <c r="Z71" s="224"/>
      <c r="AA71" s="489"/>
      <c r="AB71" s="489"/>
      <c r="AC71" s="217"/>
      <c r="AD71" s="224"/>
      <c r="AE71" s="489"/>
    </row>
    <row r="72" spans="3:31" ht="16.2" customHeight="1">
      <c r="C72" s="489"/>
      <c r="D72" s="489"/>
      <c r="E72" s="217"/>
      <c r="F72" s="224"/>
      <c r="G72" s="224"/>
      <c r="H72" s="224"/>
      <c r="I72" s="489"/>
      <c r="J72" s="489"/>
      <c r="K72" s="217"/>
      <c r="L72" s="224"/>
      <c r="M72" s="224"/>
      <c r="N72" s="224"/>
      <c r="O72" s="489"/>
      <c r="P72" s="489"/>
      <c r="Q72" s="217"/>
      <c r="R72" s="224"/>
      <c r="S72" s="224"/>
      <c r="T72" s="224"/>
      <c r="U72" s="489"/>
      <c r="V72" s="489"/>
      <c r="W72" s="217"/>
      <c r="X72" s="224"/>
      <c r="Y72" s="224"/>
      <c r="Z72" s="224"/>
      <c r="AA72" s="489"/>
      <c r="AB72" s="489"/>
      <c r="AC72" s="217"/>
      <c r="AD72" s="224"/>
      <c r="AE72" s="489"/>
    </row>
    <row r="73" spans="3:31" ht="16.2" customHeight="1">
      <c r="C73" s="489"/>
      <c r="D73" s="489"/>
      <c r="E73" s="217"/>
      <c r="F73" s="224"/>
      <c r="G73" s="224"/>
      <c r="H73" s="224"/>
      <c r="I73" s="489"/>
      <c r="J73" s="489"/>
      <c r="K73" s="217"/>
      <c r="L73" s="224"/>
      <c r="M73" s="224"/>
      <c r="N73" s="224"/>
      <c r="O73" s="489"/>
      <c r="P73" s="489"/>
      <c r="Q73" s="217"/>
      <c r="R73" s="224"/>
      <c r="S73" s="224"/>
      <c r="T73" s="224"/>
      <c r="U73" s="489"/>
      <c r="V73" s="489"/>
      <c r="W73" s="217"/>
      <c r="X73" s="224"/>
      <c r="Y73" s="224"/>
      <c r="Z73" s="224"/>
      <c r="AA73" s="489"/>
      <c r="AB73" s="489"/>
      <c r="AC73" s="217"/>
      <c r="AD73" s="224"/>
      <c r="AE73" s="489"/>
    </row>
    <row r="74" spans="3:31" ht="16.2" customHeight="1">
      <c r="C74" s="489"/>
      <c r="D74" s="489"/>
      <c r="E74" s="217"/>
      <c r="F74" s="224"/>
      <c r="G74" s="224"/>
      <c r="H74" s="224"/>
      <c r="I74" s="489"/>
      <c r="J74" s="489"/>
      <c r="K74" s="217"/>
      <c r="L74" s="224"/>
      <c r="M74" s="224"/>
      <c r="N74" s="224"/>
      <c r="O74" s="489"/>
      <c r="P74" s="489"/>
      <c r="Q74" s="217"/>
      <c r="R74" s="224"/>
      <c r="S74" s="224"/>
      <c r="T74" s="224"/>
      <c r="U74" s="489"/>
      <c r="V74" s="489"/>
      <c r="W74" s="217"/>
      <c r="X74" s="224"/>
      <c r="Y74" s="224"/>
      <c r="Z74" s="224"/>
      <c r="AA74" s="489"/>
      <c r="AB74" s="489"/>
      <c r="AC74" s="217"/>
      <c r="AD74" s="224"/>
      <c r="AE74" s="489"/>
    </row>
    <row r="75" spans="3:31" ht="16.2" customHeight="1">
      <c r="C75" s="489"/>
      <c r="D75" s="489"/>
      <c r="E75" s="217"/>
      <c r="F75" s="224"/>
      <c r="G75" s="224"/>
      <c r="H75" s="224"/>
      <c r="I75" s="489"/>
      <c r="J75" s="489"/>
      <c r="K75" s="217"/>
      <c r="L75" s="224"/>
      <c r="M75" s="224"/>
      <c r="N75" s="224"/>
      <c r="O75" s="489"/>
      <c r="P75" s="489"/>
      <c r="Q75" s="217"/>
      <c r="R75" s="224"/>
      <c r="S75" s="224"/>
      <c r="T75" s="224"/>
      <c r="U75" s="489"/>
      <c r="V75" s="489"/>
      <c r="W75" s="217"/>
      <c r="X75" s="224"/>
      <c r="Y75" s="224"/>
      <c r="Z75" s="224"/>
      <c r="AA75" s="489"/>
      <c r="AB75" s="489"/>
      <c r="AC75" s="217"/>
      <c r="AD75" s="224"/>
      <c r="AE75" s="489"/>
    </row>
    <row r="76" spans="3:31" ht="16.2" customHeight="1">
      <c r="C76" s="489"/>
      <c r="D76" s="489"/>
      <c r="E76" s="217"/>
      <c r="F76" s="224"/>
      <c r="G76" s="224"/>
      <c r="H76" s="224"/>
      <c r="I76" s="489"/>
      <c r="J76" s="489"/>
      <c r="K76" s="217"/>
      <c r="L76" s="224"/>
      <c r="M76" s="224"/>
      <c r="N76" s="224"/>
      <c r="O76" s="489"/>
      <c r="P76" s="489"/>
      <c r="Q76" s="217"/>
      <c r="R76" s="224"/>
      <c r="S76" s="224"/>
      <c r="T76" s="224"/>
      <c r="U76" s="489"/>
      <c r="V76" s="489"/>
      <c r="W76" s="217"/>
      <c r="X76" s="224"/>
      <c r="Y76" s="224"/>
      <c r="Z76" s="224"/>
      <c r="AA76" s="489"/>
      <c r="AB76" s="489"/>
      <c r="AC76" s="217"/>
      <c r="AD76" s="224"/>
      <c r="AE76" s="489"/>
    </row>
    <row r="77" spans="3:31" ht="16.2" customHeight="1">
      <c r="C77" s="489"/>
      <c r="D77" s="489"/>
      <c r="E77" s="217"/>
      <c r="F77" s="224"/>
      <c r="G77" s="224"/>
      <c r="H77" s="224"/>
      <c r="I77" s="489"/>
      <c r="J77" s="489"/>
      <c r="K77" s="217"/>
      <c r="L77" s="224"/>
      <c r="M77" s="224"/>
      <c r="N77" s="224"/>
      <c r="O77" s="489"/>
      <c r="P77" s="489"/>
      <c r="Q77" s="217"/>
      <c r="R77" s="224"/>
      <c r="S77" s="224"/>
      <c r="T77" s="224"/>
      <c r="U77" s="489"/>
      <c r="V77" s="489"/>
      <c r="W77" s="217"/>
      <c r="X77" s="224"/>
      <c r="Y77" s="224"/>
      <c r="Z77" s="224"/>
      <c r="AA77" s="489"/>
      <c r="AB77" s="489"/>
      <c r="AC77" s="217"/>
      <c r="AD77" s="224"/>
      <c r="AE77" s="489"/>
    </row>
    <row r="78" spans="3:31" ht="16.2" customHeight="1">
      <c r="C78" s="489"/>
      <c r="D78" s="489"/>
      <c r="E78" s="217"/>
      <c r="F78" s="224"/>
      <c r="G78" s="224"/>
      <c r="H78" s="224"/>
      <c r="I78" s="489"/>
      <c r="J78" s="489"/>
      <c r="K78" s="217"/>
      <c r="L78" s="224"/>
      <c r="M78" s="224"/>
      <c r="N78" s="224"/>
      <c r="O78" s="489"/>
      <c r="P78" s="489"/>
      <c r="Q78" s="217"/>
      <c r="R78" s="224"/>
      <c r="S78" s="224"/>
      <c r="T78" s="224"/>
      <c r="U78" s="489"/>
      <c r="V78" s="489"/>
      <c r="W78" s="217"/>
      <c r="X78" s="224"/>
      <c r="Y78" s="224"/>
      <c r="Z78" s="224"/>
      <c r="AA78" s="489"/>
      <c r="AB78" s="489"/>
      <c r="AC78" s="217"/>
      <c r="AD78" s="224"/>
      <c r="AE78" s="489"/>
    </row>
    <row r="79" spans="3:31" ht="16.2" customHeight="1">
      <c r="C79" s="489"/>
      <c r="D79" s="489"/>
      <c r="E79" s="217"/>
      <c r="F79" s="224"/>
      <c r="G79" s="224"/>
      <c r="H79" s="224"/>
      <c r="I79" s="489"/>
      <c r="J79" s="489"/>
      <c r="K79" s="217"/>
      <c r="L79" s="224"/>
      <c r="M79" s="224"/>
      <c r="N79" s="224"/>
      <c r="O79" s="489"/>
      <c r="P79" s="489"/>
      <c r="Q79" s="217"/>
      <c r="R79" s="224"/>
      <c r="S79" s="224"/>
      <c r="T79" s="224"/>
      <c r="U79" s="489"/>
      <c r="V79" s="489"/>
      <c r="W79" s="217"/>
      <c r="X79" s="224"/>
      <c r="Y79" s="224"/>
      <c r="Z79" s="224"/>
      <c r="AA79" s="489"/>
      <c r="AB79" s="489"/>
      <c r="AC79" s="217"/>
      <c r="AD79" s="224"/>
      <c r="AE79" s="489"/>
    </row>
    <row r="80" spans="3:31" ht="16.2" customHeight="1">
      <c r="C80" s="489"/>
      <c r="D80" s="489"/>
      <c r="E80" s="217"/>
      <c r="F80" s="224"/>
      <c r="G80" s="224"/>
      <c r="H80" s="224"/>
      <c r="I80" s="489"/>
      <c r="J80" s="489"/>
      <c r="K80" s="217"/>
      <c r="L80" s="224"/>
      <c r="M80" s="224"/>
      <c r="N80" s="224"/>
      <c r="O80" s="489"/>
      <c r="P80" s="489"/>
      <c r="Q80" s="217"/>
      <c r="R80" s="224"/>
      <c r="S80" s="224"/>
      <c r="T80" s="224"/>
      <c r="U80" s="489"/>
      <c r="V80" s="489"/>
      <c r="W80" s="217"/>
      <c r="X80" s="224"/>
      <c r="Y80" s="224"/>
      <c r="Z80" s="224"/>
      <c r="AA80" s="489"/>
      <c r="AB80" s="489"/>
      <c r="AC80" s="217"/>
      <c r="AD80" s="224"/>
      <c r="AE80" s="489"/>
    </row>
    <row r="81" spans="3:31" ht="16.2" customHeight="1">
      <c r="C81" s="489"/>
      <c r="D81" s="489"/>
      <c r="E81" s="217"/>
      <c r="F81" s="224"/>
      <c r="G81" s="224"/>
      <c r="H81" s="224"/>
      <c r="I81" s="489"/>
      <c r="J81" s="489"/>
      <c r="K81" s="217"/>
      <c r="L81" s="224"/>
      <c r="M81" s="224"/>
      <c r="N81" s="224"/>
      <c r="O81" s="489"/>
      <c r="P81" s="489"/>
      <c r="Q81" s="217"/>
      <c r="R81" s="224"/>
      <c r="S81" s="224"/>
      <c r="T81" s="224"/>
      <c r="U81" s="489"/>
      <c r="V81" s="489"/>
      <c r="W81" s="217"/>
      <c r="X81" s="224"/>
      <c r="Y81" s="224"/>
      <c r="Z81" s="224"/>
      <c r="AA81" s="489"/>
      <c r="AB81" s="489"/>
      <c r="AC81" s="217"/>
      <c r="AD81" s="224"/>
      <c r="AE81" s="489"/>
    </row>
    <row r="82" spans="3:31" ht="16.2" customHeight="1">
      <c r="C82" s="489"/>
      <c r="D82" s="489"/>
      <c r="E82" s="217"/>
      <c r="F82" s="224"/>
      <c r="G82" s="224"/>
      <c r="H82" s="224"/>
      <c r="I82" s="489"/>
      <c r="J82" s="489"/>
      <c r="K82" s="217"/>
      <c r="L82" s="224"/>
      <c r="M82" s="224"/>
      <c r="N82" s="224"/>
      <c r="O82" s="489"/>
      <c r="P82" s="489"/>
      <c r="Q82" s="217"/>
      <c r="R82" s="224"/>
      <c r="S82" s="224"/>
      <c r="T82" s="224"/>
      <c r="U82" s="489"/>
      <c r="V82" s="489"/>
      <c r="W82" s="217"/>
      <c r="X82" s="224"/>
      <c r="Y82" s="224"/>
      <c r="Z82" s="224"/>
      <c r="AA82" s="489"/>
      <c r="AB82" s="489"/>
      <c r="AC82" s="217"/>
      <c r="AD82" s="224"/>
      <c r="AE82" s="489"/>
    </row>
    <row r="83" spans="3:31" ht="16.2" customHeight="1">
      <c r="C83" s="489"/>
      <c r="D83" s="489"/>
      <c r="E83" s="217"/>
      <c r="F83" s="224"/>
      <c r="G83" s="224"/>
      <c r="H83" s="224"/>
      <c r="I83" s="489"/>
      <c r="J83" s="489"/>
      <c r="K83" s="217"/>
      <c r="L83" s="224"/>
      <c r="M83" s="224"/>
      <c r="N83" s="224"/>
      <c r="O83" s="489"/>
      <c r="P83" s="489"/>
      <c r="Q83" s="217"/>
      <c r="R83" s="224"/>
      <c r="S83" s="224"/>
      <c r="T83" s="224"/>
      <c r="U83" s="489"/>
      <c r="V83" s="489"/>
      <c r="W83" s="217"/>
      <c r="X83" s="224"/>
      <c r="Y83" s="224"/>
      <c r="Z83" s="224"/>
      <c r="AA83" s="489"/>
      <c r="AB83" s="489"/>
      <c r="AC83" s="217"/>
      <c r="AD83" s="224"/>
      <c r="AE83" s="489"/>
    </row>
    <row r="84" spans="3:31" ht="16.2" customHeight="1">
      <c r="C84" s="489"/>
      <c r="D84" s="489"/>
      <c r="E84" s="217"/>
      <c r="F84" s="224"/>
      <c r="G84" s="224"/>
      <c r="H84" s="224"/>
      <c r="I84" s="489"/>
      <c r="J84" s="489"/>
      <c r="K84" s="217"/>
      <c r="L84" s="224"/>
      <c r="M84" s="224"/>
      <c r="N84" s="224"/>
      <c r="O84" s="489"/>
      <c r="P84" s="489"/>
      <c r="Q84" s="217"/>
      <c r="R84" s="224"/>
      <c r="S84" s="224"/>
      <c r="T84" s="224"/>
      <c r="U84" s="489"/>
      <c r="V84" s="489"/>
      <c r="W84" s="217"/>
      <c r="X84" s="224"/>
      <c r="Y84" s="224"/>
      <c r="Z84" s="224"/>
      <c r="AA84" s="489"/>
      <c r="AB84" s="489"/>
      <c r="AC84" s="217"/>
      <c r="AD84" s="224"/>
      <c r="AE84" s="489"/>
    </row>
    <row r="85" spans="3:31" ht="16.2" customHeight="1">
      <c r="C85" s="489"/>
      <c r="D85" s="489"/>
      <c r="E85" s="217"/>
      <c r="F85" s="224"/>
      <c r="G85" s="224"/>
      <c r="H85" s="224"/>
      <c r="I85" s="489"/>
      <c r="J85" s="489"/>
      <c r="K85" s="217"/>
      <c r="L85" s="224"/>
      <c r="M85" s="224"/>
      <c r="N85" s="224"/>
      <c r="O85" s="489"/>
      <c r="P85" s="489"/>
      <c r="Q85" s="217"/>
      <c r="R85" s="224"/>
      <c r="S85" s="224"/>
      <c r="T85" s="224"/>
      <c r="U85" s="489"/>
      <c r="V85" s="489"/>
      <c r="W85" s="217"/>
      <c r="X85" s="224"/>
      <c r="Y85" s="224"/>
      <c r="Z85" s="224"/>
      <c r="AA85" s="489"/>
      <c r="AB85" s="489"/>
      <c r="AC85" s="217"/>
      <c r="AD85" s="224"/>
      <c r="AE85" s="489"/>
    </row>
    <row r="86" spans="3:31" ht="16.2" customHeight="1">
      <c r="C86" s="489"/>
      <c r="D86" s="489"/>
      <c r="E86" s="217"/>
      <c r="F86" s="224"/>
      <c r="G86" s="224"/>
      <c r="H86" s="224"/>
      <c r="I86" s="489"/>
      <c r="J86" s="489"/>
      <c r="K86" s="217"/>
      <c r="L86" s="224"/>
      <c r="M86" s="224"/>
      <c r="N86" s="224"/>
      <c r="O86" s="489"/>
      <c r="P86" s="489"/>
      <c r="Q86" s="217"/>
      <c r="R86" s="224"/>
      <c r="S86" s="224"/>
      <c r="T86" s="224"/>
      <c r="U86" s="489"/>
      <c r="V86" s="489"/>
      <c r="W86" s="217"/>
      <c r="X86" s="224"/>
      <c r="Y86" s="224"/>
      <c r="Z86" s="224"/>
      <c r="AA86" s="489"/>
      <c r="AB86" s="489"/>
      <c r="AC86" s="217"/>
      <c r="AD86" s="224"/>
      <c r="AE86" s="489"/>
    </row>
    <row r="87" spans="3:31" ht="16.2" customHeight="1">
      <c r="C87" s="489"/>
      <c r="D87" s="489"/>
      <c r="E87" s="217"/>
      <c r="F87" s="224"/>
      <c r="G87" s="224"/>
      <c r="H87" s="224"/>
      <c r="I87" s="489"/>
      <c r="J87" s="489"/>
      <c r="K87" s="217"/>
      <c r="L87" s="224"/>
      <c r="M87" s="224"/>
      <c r="N87" s="224"/>
      <c r="O87" s="489"/>
      <c r="P87" s="489"/>
      <c r="Q87" s="217"/>
      <c r="R87" s="224"/>
      <c r="S87" s="224"/>
      <c r="T87" s="224"/>
      <c r="U87" s="489"/>
      <c r="V87" s="489"/>
      <c r="W87" s="217"/>
      <c r="X87" s="224"/>
      <c r="Y87" s="224"/>
      <c r="Z87" s="224"/>
      <c r="AA87" s="489"/>
      <c r="AB87" s="489"/>
      <c r="AC87" s="217"/>
      <c r="AD87" s="224"/>
      <c r="AE87" s="489"/>
    </row>
    <row r="88" spans="3:31" ht="16.2" customHeight="1">
      <c r="C88" s="489"/>
      <c r="D88" s="489"/>
      <c r="E88" s="217"/>
      <c r="F88" s="224"/>
      <c r="G88" s="224"/>
      <c r="H88" s="224"/>
      <c r="I88" s="489"/>
      <c r="J88" s="489"/>
      <c r="K88" s="217"/>
      <c r="L88" s="224"/>
      <c r="M88" s="224"/>
      <c r="N88" s="224"/>
      <c r="O88" s="489"/>
      <c r="P88" s="489"/>
      <c r="Q88" s="217"/>
      <c r="R88" s="224"/>
      <c r="S88" s="224"/>
      <c r="T88" s="224"/>
      <c r="U88" s="489"/>
      <c r="V88" s="489"/>
      <c r="W88" s="217"/>
      <c r="X88" s="224"/>
      <c r="Y88" s="224"/>
      <c r="Z88" s="224"/>
      <c r="AA88" s="489"/>
      <c r="AB88" s="489"/>
      <c r="AC88" s="217"/>
      <c r="AD88" s="224"/>
      <c r="AE88" s="489"/>
    </row>
    <row r="89" spans="3:31" ht="16.2" customHeight="1">
      <c r="C89" s="489"/>
      <c r="D89" s="489"/>
      <c r="E89" s="217"/>
      <c r="F89" s="224"/>
      <c r="G89" s="224"/>
      <c r="H89" s="224"/>
      <c r="I89" s="489"/>
      <c r="J89" s="489"/>
      <c r="K89" s="217"/>
      <c r="L89" s="224"/>
      <c r="M89" s="224"/>
      <c r="N89" s="224"/>
      <c r="O89" s="489"/>
      <c r="P89" s="489"/>
      <c r="Q89" s="217"/>
      <c r="R89" s="224"/>
      <c r="S89" s="224"/>
      <c r="T89" s="224"/>
      <c r="U89" s="489"/>
      <c r="V89" s="489"/>
      <c r="W89" s="217"/>
      <c r="X89" s="224"/>
      <c r="Y89" s="224"/>
      <c r="Z89" s="224"/>
      <c r="AA89" s="489"/>
      <c r="AB89" s="489"/>
      <c r="AC89" s="217"/>
      <c r="AD89" s="224"/>
      <c r="AE89" s="489"/>
    </row>
    <row r="90" spans="3:31" ht="16.2" customHeight="1">
      <c r="C90" s="489"/>
      <c r="D90" s="489"/>
      <c r="E90" s="217"/>
      <c r="F90" s="224"/>
      <c r="G90" s="224"/>
      <c r="H90" s="224"/>
      <c r="I90" s="489"/>
      <c r="J90" s="489"/>
      <c r="K90" s="217"/>
      <c r="L90" s="224"/>
      <c r="M90" s="224"/>
      <c r="N90" s="224"/>
      <c r="O90" s="489"/>
      <c r="P90" s="489"/>
      <c r="Q90" s="217"/>
      <c r="R90" s="224"/>
      <c r="S90" s="224"/>
      <c r="T90" s="224"/>
      <c r="U90" s="489"/>
      <c r="V90" s="489"/>
      <c r="W90" s="217"/>
      <c r="X90" s="224"/>
      <c r="Y90" s="224"/>
      <c r="Z90" s="224"/>
      <c r="AA90" s="489"/>
      <c r="AB90" s="489"/>
      <c r="AC90" s="217"/>
      <c r="AD90" s="224"/>
      <c r="AE90" s="489"/>
    </row>
    <row r="91" spans="3:31" ht="16.2" customHeight="1">
      <c r="C91" s="489"/>
      <c r="D91" s="489"/>
      <c r="E91" s="217"/>
      <c r="F91" s="224"/>
      <c r="G91" s="224"/>
      <c r="H91" s="224"/>
      <c r="I91" s="489"/>
      <c r="J91" s="489"/>
      <c r="K91" s="217"/>
      <c r="L91" s="224"/>
      <c r="M91" s="224"/>
      <c r="N91" s="224"/>
      <c r="O91" s="489"/>
      <c r="P91" s="489"/>
      <c r="Q91" s="217"/>
      <c r="R91" s="224"/>
      <c r="S91" s="224"/>
      <c r="T91" s="224"/>
      <c r="U91" s="489"/>
      <c r="V91" s="489"/>
      <c r="W91" s="217"/>
      <c r="X91" s="224"/>
      <c r="Y91" s="224"/>
      <c r="Z91" s="224"/>
      <c r="AA91" s="489"/>
      <c r="AB91" s="489"/>
      <c r="AC91" s="217"/>
      <c r="AD91" s="224"/>
      <c r="AE91" s="489"/>
    </row>
    <row r="92" spans="3:31" ht="16.2" customHeight="1">
      <c r="C92" s="489"/>
      <c r="D92" s="489"/>
      <c r="E92" s="217"/>
      <c r="F92" s="224"/>
      <c r="G92" s="224"/>
      <c r="H92" s="224"/>
      <c r="I92" s="489"/>
      <c r="J92" s="489"/>
      <c r="K92" s="217"/>
      <c r="L92" s="224"/>
      <c r="M92" s="224"/>
      <c r="N92" s="224"/>
      <c r="O92" s="489"/>
      <c r="P92" s="489"/>
      <c r="Q92" s="217"/>
      <c r="R92" s="224"/>
      <c r="S92" s="224"/>
      <c r="T92" s="224"/>
      <c r="U92" s="489"/>
      <c r="V92" s="489"/>
      <c r="W92" s="217"/>
      <c r="X92" s="224"/>
      <c r="Y92" s="224"/>
      <c r="Z92" s="224"/>
      <c r="AA92" s="489"/>
      <c r="AB92" s="489"/>
      <c r="AC92" s="217"/>
      <c r="AD92" s="224"/>
      <c r="AE92" s="489"/>
    </row>
    <row r="93" spans="3:31" ht="16.2" customHeight="1">
      <c r="C93" s="489"/>
      <c r="D93" s="489"/>
      <c r="E93" s="217"/>
      <c r="F93" s="224"/>
      <c r="G93" s="224"/>
      <c r="H93" s="224"/>
      <c r="I93" s="489"/>
      <c r="J93" s="489"/>
      <c r="K93" s="217"/>
      <c r="L93" s="224"/>
      <c r="M93" s="224"/>
      <c r="N93" s="224"/>
      <c r="O93" s="489"/>
      <c r="P93" s="489"/>
      <c r="Q93" s="217"/>
      <c r="R93" s="224"/>
      <c r="S93" s="224"/>
      <c r="T93" s="224"/>
      <c r="U93" s="489"/>
      <c r="V93" s="489"/>
      <c r="W93" s="217"/>
      <c r="X93" s="224"/>
      <c r="Y93" s="224"/>
      <c r="Z93" s="224"/>
      <c r="AA93" s="489"/>
      <c r="AB93" s="489"/>
      <c r="AC93" s="217"/>
      <c r="AD93" s="224"/>
      <c r="AE93" s="489"/>
    </row>
    <row r="94" spans="3:31" ht="16.2" customHeight="1">
      <c r="C94" s="489"/>
      <c r="D94" s="489"/>
      <c r="E94" s="217"/>
      <c r="F94" s="224"/>
      <c r="G94" s="224"/>
      <c r="H94" s="224"/>
      <c r="I94" s="489"/>
      <c r="J94" s="489"/>
      <c r="K94" s="217"/>
      <c r="L94" s="224"/>
      <c r="M94" s="224"/>
      <c r="N94" s="224"/>
      <c r="O94" s="489"/>
      <c r="P94" s="489"/>
      <c r="Q94" s="217"/>
      <c r="R94" s="224"/>
      <c r="S94" s="224"/>
      <c r="T94" s="224"/>
      <c r="U94" s="489"/>
      <c r="V94" s="489"/>
      <c r="W94" s="217"/>
      <c r="X94" s="224"/>
      <c r="Y94" s="224"/>
      <c r="Z94" s="224"/>
      <c r="AA94" s="489"/>
      <c r="AB94" s="489"/>
      <c r="AC94" s="217"/>
      <c r="AD94" s="224"/>
      <c r="AE94" s="489"/>
    </row>
    <row r="95" spans="3:31" ht="16.2" customHeight="1">
      <c r="C95" s="489"/>
      <c r="D95" s="489"/>
      <c r="E95" s="217"/>
      <c r="F95" s="224"/>
      <c r="G95" s="224"/>
      <c r="H95" s="224"/>
      <c r="I95" s="489"/>
      <c r="J95" s="489"/>
      <c r="K95" s="217"/>
      <c r="L95" s="224"/>
      <c r="M95" s="224"/>
      <c r="N95" s="224"/>
      <c r="O95" s="489"/>
      <c r="P95" s="489"/>
      <c r="Q95" s="217"/>
      <c r="R95" s="224"/>
      <c r="S95" s="224"/>
      <c r="T95" s="224"/>
      <c r="U95" s="489"/>
      <c r="V95" s="489"/>
      <c r="W95" s="217"/>
      <c r="X95" s="224"/>
      <c r="Y95" s="224"/>
      <c r="Z95" s="224"/>
      <c r="AA95" s="489"/>
      <c r="AB95" s="489"/>
      <c r="AC95" s="217"/>
      <c r="AD95" s="224"/>
      <c r="AE95" s="489"/>
    </row>
    <row r="96" spans="3:31" ht="16.2" customHeight="1">
      <c r="C96" s="489"/>
      <c r="D96" s="489"/>
      <c r="E96" s="217"/>
      <c r="F96" s="224"/>
      <c r="G96" s="224"/>
      <c r="H96" s="224"/>
      <c r="I96" s="489"/>
      <c r="J96" s="489"/>
      <c r="K96" s="217"/>
      <c r="L96" s="224"/>
      <c r="M96" s="224"/>
      <c r="N96" s="224"/>
      <c r="O96" s="489"/>
      <c r="P96" s="489"/>
      <c r="Q96" s="217"/>
      <c r="R96" s="224"/>
      <c r="S96" s="224"/>
      <c r="T96" s="224"/>
      <c r="U96" s="489"/>
      <c r="V96" s="489"/>
      <c r="W96" s="217"/>
      <c r="X96" s="224"/>
      <c r="Y96" s="224"/>
      <c r="Z96" s="224"/>
      <c r="AA96" s="489"/>
      <c r="AB96" s="489"/>
      <c r="AC96" s="217"/>
      <c r="AD96" s="224"/>
      <c r="AE96" s="489"/>
    </row>
    <row r="97" spans="3:31" ht="16.2" customHeight="1">
      <c r="C97" s="489"/>
      <c r="D97" s="489"/>
      <c r="E97" s="217"/>
      <c r="F97" s="224"/>
      <c r="G97" s="224"/>
      <c r="H97" s="224"/>
      <c r="I97" s="489"/>
      <c r="J97" s="489"/>
      <c r="K97" s="217"/>
      <c r="L97" s="224"/>
      <c r="M97" s="224"/>
      <c r="N97" s="224"/>
      <c r="O97" s="489"/>
      <c r="P97" s="489"/>
      <c r="Q97" s="217"/>
      <c r="R97" s="224"/>
      <c r="S97" s="224"/>
      <c r="T97" s="224"/>
      <c r="U97" s="489"/>
      <c r="V97" s="489"/>
      <c r="W97" s="217"/>
      <c r="X97" s="224"/>
      <c r="Y97" s="224"/>
      <c r="Z97" s="224"/>
      <c r="AA97" s="489"/>
      <c r="AB97" s="489"/>
      <c r="AC97" s="217"/>
      <c r="AD97" s="224"/>
      <c r="AE97" s="489"/>
    </row>
    <row r="98" spans="3:31" ht="16.2" customHeight="1">
      <c r="C98" s="489"/>
      <c r="D98" s="489"/>
      <c r="E98" s="217"/>
      <c r="F98" s="224"/>
      <c r="G98" s="224"/>
      <c r="H98" s="224"/>
      <c r="I98" s="489"/>
      <c r="J98" s="489"/>
      <c r="K98" s="217"/>
      <c r="L98" s="224"/>
      <c r="M98" s="224"/>
      <c r="N98" s="224"/>
      <c r="O98" s="489"/>
      <c r="P98" s="489"/>
      <c r="Q98" s="217"/>
      <c r="R98" s="224"/>
      <c r="S98" s="224"/>
      <c r="T98" s="224"/>
      <c r="U98" s="489"/>
      <c r="V98" s="489"/>
      <c r="W98" s="217"/>
      <c r="X98" s="224"/>
      <c r="Y98" s="224"/>
      <c r="Z98" s="224"/>
      <c r="AA98" s="489"/>
      <c r="AB98" s="489"/>
      <c r="AC98" s="217"/>
      <c r="AD98" s="224"/>
      <c r="AE98" s="489"/>
    </row>
    <row r="99" spans="3:31" ht="16.2" customHeight="1">
      <c r="C99" s="489"/>
      <c r="D99" s="489"/>
      <c r="E99" s="217"/>
      <c r="F99" s="224"/>
      <c r="G99" s="224"/>
      <c r="H99" s="224"/>
      <c r="I99" s="489"/>
      <c r="J99" s="489"/>
      <c r="K99" s="217"/>
      <c r="L99" s="224"/>
      <c r="M99" s="224"/>
      <c r="N99" s="224"/>
      <c r="O99" s="489"/>
      <c r="P99" s="489"/>
      <c r="Q99" s="217"/>
      <c r="R99" s="224"/>
      <c r="S99" s="224"/>
      <c r="T99" s="224"/>
      <c r="U99" s="489"/>
      <c r="V99" s="489"/>
      <c r="W99" s="217"/>
      <c r="X99" s="224"/>
      <c r="Y99" s="224"/>
      <c r="Z99" s="224"/>
      <c r="AA99" s="489"/>
      <c r="AB99" s="489"/>
      <c r="AC99" s="217"/>
      <c r="AD99" s="224"/>
      <c r="AE99" s="489"/>
    </row>
    <row r="100" spans="3:31" ht="16.2" customHeight="1">
      <c r="C100" s="489"/>
      <c r="D100" s="489"/>
      <c r="E100" s="217"/>
      <c r="F100" s="224"/>
      <c r="G100" s="224"/>
      <c r="H100" s="224"/>
      <c r="I100" s="489"/>
      <c r="J100" s="489"/>
      <c r="K100" s="217"/>
      <c r="L100" s="224"/>
      <c r="M100" s="224"/>
      <c r="N100" s="224"/>
      <c r="O100" s="489"/>
      <c r="P100" s="489"/>
      <c r="Q100" s="217"/>
      <c r="R100" s="224"/>
      <c r="S100" s="224"/>
      <c r="T100" s="224"/>
      <c r="U100" s="489"/>
      <c r="V100" s="489"/>
      <c r="W100" s="217"/>
      <c r="X100" s="224"/>
      <c r="Y100" s="224"/>
      <c r="Z100" s="224"/>
      <c r="AA100" s="489"/>
      <c r="AB100" s="489"/>
      <c r="AC100" s="217"/>
      <c r="AD100" s="224"/>
      <c r="AE100" s="489"/>
    </row>
    <row r="101" spans="3:31" ht="16.2" customHeight="1">
      <c r="C101" s="489"/>
      <c r="D101" s="489"/>
      <c r="E101" s="217"/>
      <c r="F101" s="224"/>
      <c r="G101" s="224"/>
      <c r="H101" s="224"/>
      <c r="I101" s="489"/>
      <c r="J101" s="489"/>
      <c r="K101" s="217"/>
      <c r="L101" s="224"/>
      <c r="M101" s="224"/>
      <c r="N101" s="224"/>
      <c r="O101" s="489"/>
      <c r="P101" s="489"/>
      <c r="Q101" s="217"/>
      <c r="R101" s="224"/>
      <c r="S101" s="224"/>
      <c r="T101" s="224"/>
      <c r="U101" s="489"/>
      <c r="V101" s="489"/>
      <c r="W101" s="217"/>
      <c r="X101" s="224"/>
      <c r="Y101" s="224"/>
      <c r="Z101" s="224"/>
      <c r="AA101" s="489"/>
      <c r="AB101" s="489"/>
      <c r="AC101" s="217"/>
      <c r="AD101" s="224"/>
      <c r="AE101" s="489"/>
    </row>
    <row r="102" spans="3:31" ht="16.2" customHeight="1">
      <c r="C102" s="489"/>
      <c r="D102" s="489"/>
      <c r="E102" s="217"/>
      <c r="F102" s="224"/>
      <c r="G102" s="224"/>
      <c r="H102" s="224"/>
      <c r="I102" s="489"/>
      <c r="J102" s="489"/>
      <c r="K102" s="217"/>
      <c r="L102" s="224"/>
      <c r="M102" s="224"/>
      <c r="N102" s="224"/>
      <c r="O102" s="489"/>
      <c r="P102" s="489"/>
      <c r="Q102" s="217"/>
      <c r="R102" s="224"/>
      <c r="S102" s="224"/>
      <c r="T102" s="224"/>
      <c r="U102" s="489"/>
      <c r="V102" s="489"/>
      <c r="W102" s="217"/>
      <c r="X102" s="224"/>
      <c r="Y102" s="224"/>
      <c r="Z102" s="224"/>
      <c r="AA102" s="489"/>
      <c r="AB102" s="489"/>
      <c r="AC102" s="217"/>
      <c r="AD102" s="224"/>
      <c r="AE102" s="489"/>
    </row>
    <row r="103" spans="3:31" ht="16.2" customHeight="1">
      <c r="C103" s="489"/>
      <c r="D103" s="489"/>
      <c r="E103" s="217"/>
      <c r="F103" s="224"/>
      <c r="G103" s="224"/>
      <c r="H103" s="224"/>
      <c r="I103" s="489"/>
      <c r="J103" s="489"/>
      <c r="K103" s="217"/>
      <c r="L103" s="224"/>
      <c r="M103" s="224"/>
      <c r="N103" s="224"/>
      <c r="O103" s="489"/>
      <c r="P103" s="489"/>
      <c r="Q103" s="217"/>
      <c r="R103" s="224"/>
      <c r="S103" s="224"/>
      <c r="T103" s="224"/>
      <c r="U103" s="489"/>
      <c r="V103" s="489"/>
      <c r="W103" s="217"/>
      <c r="X103" s="224"/>
      <c r="Y103" s="224"/>
      <c r="Z103" s="224"/>
      <c r="AA103" s="489"/>
      <c r="AB103" s="489"/>
      <c r="AC103" s="217"/>
      <c r="AD103" s="224"/>
      <c r="AE103" s="489"/>
    </row>
    <row r="104" spans="3:31" ht="16.2" customHeight="1">
      <c r="C104" s="489"/>
      <c r="D104" s="489"/>
      <c r="E104" s="217"/>
      <c r="F104" s="224"/>
      <c r="G104" s="224"/>
      <c r="H104" s="224"/>
      <c r="I104" s="489"/>
      <c r="J104" s="489"/>
      <c r="K104" s="217"/>
      <c r="L104" s="224"/>
      <c r="M104" s="224"/>
      <c r="N104" s="224"/>
      <c r="O104" s="489"/>
      <c r="P104" s="489"/>
      <c r="Q104" s="217"/>
      <c r="R104" s="224"/>
      <c r="S104" s="224"/>
      <c r="T104" s="224"/>
      <c r="U104" s="489"/>
      <c r="V104" s="489"/>
      <c r="W104" s="217"/>
      <c r="X104" s="224"/>
      <c r="Y104" s="224"/>
      <c r="Z104" s="224"/>
      <c r="AA104" s="489"/>
      <c r="AB104" s="489"/>
      <c r="AC104" s="217"/>
      <c r="AD104" s="224"/>
      <c r="AE104" s="489"/>
    </row>
    <row r="105" spans="3:31" ht="16.2" customHeight="1">
      <c r="C105" s="489"/>
      <c r="D105" s="489"/>
      <c r="E105" s="217"/>
      <c r="F105" s="224"/>
      <c r="G105" s="224"/>
      <c r="H105" s="224"/>
      <c r="I105" s="489"/>
      <c r="J105" s="489"/>
      <c r="K105" s="217"/>
      <c r="L105" s="224"/>
      <c r="M105" s="224"/>
      <c r="N105" s="224"/>
      <c r="O105" s="489"/>
      <c r="P105" s="489"/>
      <c r="Q105" s="217"/>
      <c r="R105" s="224"/>
      <c r="S105" s="224"/>
      <c r="T105" s="224"/>
      <c r="U105" s="489"/>
      <c r="V105" s="489"/>
      <c r="W105" s="217"/>
      <c r="X105" s="224"/>
      <c r="Y105" s="224"/>
      <c r="Z105" s="224"/>
      <c r="AA105" s="489"/>
      <c r="AB105" s="489"/>
      <c r="AC105" s="217"/>
      <c r="AD105" s="224"/>
      <c r="AE105" s="489"/>
    </row>
    <row r="106" spans="3:31" ht="16.2" customHeight="1">
      <c r="C106" s="489"/>
      <c r="D106" s="489"/>
      <c r="E106" s="217"/>
      <c r="F106" s="224"/>
      <c r="G106" s="224"/>
      <c r="H106" s="224"/>
      <c r="I106" s="489"/>
      <c r="J106" s="489"/>
      <c r="K106" s="217"/>
      <c r="L106" s="224"/>
      <c r="M106" s="224"/>
      <c r="N106" s="224"/>
      <c r="O106" s="489"/>
      <c r="P106" s="489"/>
      <c r="Q106" s="217"/>
      <c r="R106" s="224"/>
      <c r="S106" s="224"/>
      <c r="T106" s="224"/>
      <c r="U106" s="489"/>
      <c r="V106" s="489"/>
      <c r="W106" s="217"/>
      <c r="X106" s="224"/>
      <c r="Y106" s="224"/>
      <c r="Z106" s="224"/>
      <c r="AA106" s="489"/>
      <c r="AB106" s="489"/>
      <c r="AC106" s="217"/>
      <c r="AD106" s="224"/>
      <c r="AE106" s="489"/>
    </row>
    <row r="107" spans="3:31" ht="16.2" customHeight="1">
      <c r="C107" s="489"/>
      <c r="D107" s="489"/>
      <c r="E107" s="217"/>
      <c r="F107" s="224"/>
      <c r="G107" s="224"/>
      <c r="H107" s="224"/>
      <c r="I107" s="489"/>
      <c r="J107" s="489"/>
      <c r="K107" s="217"/>
      <c r="L107" s="224"/>
      <c r="M107" s="224"/>
      <c r="N107" s="224"/>
      <c r="O107" s="489"/>
      <c r="P107" s="489"/>
      <c r="Q107" s="217"/>
      <c r="R107" s="224"/>
      <c r="S107" s="224"/>
      <c r="T107" s="224"/>
      <c r="U107" s="489"/>
      <c r="V107" s="489"/>
      <c r="W107" s="217"/>
      <c r="X107" s="224"/>
      <c r="Y107" s="224"/>
      <c r="Z107" s="224"/>
      <c r="AA107" s="489"/>
      <c r="AB107" s="489"/>
      <c r="AC107" s="217"/>
      <c r="AD107" s="224"/>
      <c r="AE107" s="489"/>
    </row>
    <row r="108" spans="3:31" ht="16.2" customHeight="1">
      <c r="C108" s="489"/>
      <c r="D108" s="489"/>
      <c r="E108" s="217"/>
      <c r="F108" s="224"/>
      <c r="G108" s="224"/>
      <c r="H108" s="224"/>
      <c r="I108" s="489"/>
      <c r="J108" s="489"/>
      <c r="K108" s="217"/>
      <c r="L108" s="224"/>
      <c r="M108" s="224"/>
      <c r="N108" s="224"/>
      <c r="O108" s="489"/>
      <c r="P108" s="489"/>
      <c r="Q108" s="217"/>
      <c r="R108" s="224"/>
      <c r="S108" s="224"/>
      <c r="T108" s="224"/>
      <c r="U108" s="489"/>
      <c r="V108" s="489"/>
      <c r="W108" s="217"/>
      <c r="X108" s="224"/>
      <c r="Y108" s="224"/>
      <c r="Z108" s="224"/>
      <c r="AA108" s="489"/>
      <c r="AB108" s="489"/>
      <c r="AC108" s="217"/>
      <c r="AD108" s="224"/>
      <c r="AE108" s="489"/>
    </row>
    <row r="109" spans="3:31" ht="16.2" customHeight="1">
      <c r="C109" s="489"/>
      <c r="D109" s="489"/>
      <c r="E109" s="217"/>
      <c r="F109" s="224"/>
      <c r="G109" s="224"/>
      <c r="H109" s="224"/>
      <c r="I109" s="489"/>
      <c r="J109" s="489"/>
      <c r="K109" s="217"/>
      <c r="L109" s="224"/>
      <c r="M109" s="224"/>
      <c r="N109" s="224"/>
      <c r="O109" s="489"/>
      <c r="P109" s="489"/>
      <c r="Q109" s="217"/>
      <c r="R109" s="224"/>
      <c r="S109" s="224"/>
      <c r="T109" s="224"/>
      <c r="U109" s="489"/>
      <c r="V109" s="489"/>
      <c r="W109" s="217"/>
      <c r="X109" s="224"/>
      <c r="Y109" s="224"/>
      <c r="Z109" s="224"/>
      <c r="AA109" s="489"/>
      <c r="AB109" s="489"/>
      <c r="AC109" s="217"/>
      <c r="AD109" s="224"/>
      <c r="AE109" s="489"/>
    </row>
    <row r="110" spans="3:31" ht="16.2" customHeight="1">
      <c r="C110" s="489"/>
      <c r="D110" s="489"/>
      <c r="E110" s="217"/>
      <c r="F110" s="224"/>
      <c r="G110" s="224"/>
      <c r="H110" s="224"/>
      <c r="I110" s="489"/>
      <c r="J110" s="489"/>
      <c r="K110" s="217"/>
      <c r="L110" s="224"/>
      <c r="M110" s="224"/>
      <c r="N110" s="224"/>
      <c r="O110" s="489"/>
      <c r="P110" s="489"/>
      <c r="Q110" s="217"/>
      <c r="R110" s="224"/>
      <c r="S110" s="224"/>
      <c r="T110" s="224"/>
      <c r="U110" s="489"/>
      <c r="V110" s="489"/>
      <c r="W110" s="217"/>
      <c r="X110" s="224"/>
      <c r="Y110" s="224"/>
      <c r="Z110" s="224"/>
      <c r="AA110" s="489"/>
      <c r="AB110" s="489"/>
      <c r="AC110" s="217"/>
      <c r="AD110" s="224"/>
      <c r="AE110" s="489"/>
    </row>
    <row r="111" spans="3:31" ht="16.2" customHeight="1">
      <c r="C111" s="489"/>
      <c r="D111" s="489"/>
      <c r="E111" s="217"/>
      <c r="F111" s="224"/>
      <c r="G111" s="224"/>
      <c r="H111" s="224"/>
      <c r="I111" s="489"/>
      <c r="J111" s="489"/>
      <c r="K111" s="217"/>
      <c r="L111" s="224"/>
      <c r="M111" s="224"/>
      <c r="N111" s="224"/>
      <c r="O111" s="489"/>
      <c r="P111" s="489"/>
      <c r="Q111" s="217"/>
      <c r="R111" s="224"/>
      <c r="S111" s="224"/>
      <c r="T111" s="224"/>
      <c r="U111" s="489"/>
      <c r="V111" s="489"/>
      <c r="W111" s="217"/>
      <c r="X111" s="224"/>
      <c r="Y111" s="224"/>
      <c r="Z111" s="224"/>
      <c r="AA111" s="489"/>
      <c r="AB111" s="489"/>
      <c r="AC111" s="217"/>
      <c r="AD111" s="224"/>
      <c r="AE111" s="489"/>
    </row>
    <row r="112" spans="3:31" ht="16.2" customHeight="1">
      <c r="C112" s="489"/>
      <c r="D112" s="489"/>
      <c r="E112" s="217"/>
      <c r="F112" s="224"/>
      <c r="G112" s="224"/>
      <c r="H112" s="224"/>
      <c r="I112" s="489"/>
      <c r="J112" s="489"/>
      <c r="K112" s="217"/>
      <c r="L112" s="224"/>
      <c r="M112" s="224"/>
      <c r="N112" s="224"/>
      <c r="O112" s="489"/>
      <c r="P112" s="489"/>
      <c r="Q112" s="217"/>
      <c r="R112" s="224"/>
      <c r="S112" s="224"/>
      <c r="T112" s="224"/>
      <c r="U112" s="489"/>
      <c r="V112" s="489"/>
      <c r="W112" s="217"/>
      <c r="X112" s="224"/>
      <c r="Y112" s="224"/>
      <c r="Z112" s="224"/>
      <c r="AA112" s="489"/>
      <c r="AB112" s="489"/>
      <c r="AC112" s="217"/>
      <c r="AD112" s="224"/>
      <c r="AE112" s="489"/>
    </row>
    <row r="113" spans="3:31" ht="16.2" customHeight="1">
      <c r="C113" s="489"/>
      <c r="D113" s="489"/>
      <c r="E113" s="217"/>
      <c r="F113" s="224"/>
      <c r="G113" s="224"/>
      <c r="H113" s="224"/>
      <c r="I113" s="489"/>
      <c r="J113" s="489"/>
      <c r="K113" s="217"/>
      <c r="L113" s="224"/>
      <c r="M113" s="224"/>
      <c r="N113" s="224"/>
      <c r="O113" s="489"/>
      <c r="P113" s="489"/>
      <c r="Q113" s="217"/>
      <c r="R113" s="224"/>
      <c r="S113" s="224"/>
      <c r="T113" s="224"/>
      <c r="U113" s="489"/>
      <c r="V113" s="489"/>
      <c r="W113" s="217"/>
      <c r="X113" s="224"/>
      <c r="Y113" s="224"/>
      <c r="Z113" s="224"/>
      <c r="AA113" s="489"/>
      <c r="AB113" s="489"/>
      <c r="AC113" s="217"/>
      <c r="AD113" s="224"/>
      <c r="AE113" s="489"/>
    </row>
    <row r="114" spans="3:31" ht="16.2" customHeight="1">
      <c r="C114" s="489"/>
      <c r="D114" s="489"/>
      <c r="E114" s="217"/>
      <c r="F114" s="224"/>
      <c r="G114" s="224"/>
      <c r="H114" s="224"/>
      <c r="I114" s="489"/>
      <c r="J114" s="489"/>
      <c r="K114" s="217"/>
      <c r="L114" s="224"/>
      <c r="M114" s="224"/>
      <c r="N114" s="224"/>
      <c r="O114" s="489"/>
      <c r="P114" s="489"/>
      <c r="Q114" s="217"/>
      <c r="R114" s="224"/>
      <c r="S114" s="224"/>
      <c r="T114" s="224"/>
      <c r="U114" s="489"/>
      <c r="V114" s="489"/>
      <c r="W114" s="217"/>
      <c r="X114" s="224"/>
      <c r="Y114" s="224"/>
      <c r="Z114" s="224"/>
      <c r="AA114" s="489"/>
      <c r="AB114" s="489"/>
      <c r="AC114" s="217"/>
      <c r="AD114" s="224"/>
      <c r="AE114" s="489"/>
    </row>
    <row r="115" spans="3:31" ht="16.2" customHeight="1">
      <c r="C115" s="489"/>
      <c r="D115" s="489"/>
      <c r="E115" s="217"/>
      <c r="F115" s="224"/>
      <c r="G115" s="224"/>
      <c r="H115" s="224"/>
      <c r="I115" s="489"/>
      <c r="J115" s="489"/>
      <c r="K115" s="217"/>
      <c r="L115" s="224"/>
      <c r="M115" s="224"/>
      <c r="N115" s="224"/>
      <c r="O115" s="489"/>
      <c r="P115" s="489"/>
      <c r="Q115" s="217"/>
      <c r="R115" s="224"/>
      <c r="S115" s="224"/>
      <c r="T115" s="224"/>
      <c r="U115" s="489"/>
      <c r="V115" s="489"/>
      <c r="W115" s="217"/>
      <c r="X115" s="224"/>
      <c r="Y115" s="224"/>
      <c r="Z115" s="224"/>
      <c r="AA115" s="489"/>
      <c r="AB115" s="489"/>
      <c r="AC115" s="217"/>
      <c r="AD115" s="224"/>
      <c r="AE115" s="489"/>
    </row>
    <row r="116" spans="3:31" ht="16.2" customHeight="1">
      <c r="C116" s="489"/>
      <c r="D116" s="489"/>
      <c r="E116" s="217"/>
      <c r="F116" s="224"/>
      <c r="G116" s="224"/>
      <c r="H116" s="224"/>
      <c r="I116" s="489"/>
      <c r="J116" s="489"/>
      <c r="K116" s="217"/>
      <c r="L116" s="224"/>
      <c r="M116" s="224"/>
      <c r="N116" s="224"/>
      <c r="O116" s="489"/>
      <c r="P116" s="489"/>
      <c r="Q116" s="217"/>
      <c r="R116" s="224"/>
      <c r="S116" s="224"/>
      <c r="T116" s="224"/>
      <c r="U116" s="489"/>
      <c r="V116" s="489"/>
      <c r="W116" s="217"/>
      <c r="X116" s="224"/>
      <c r="Y116" s="224"/>
      <c r="Z116" s="224"/>
      <c r="AA116" s="489"/>
      <c r="AB116" s="489"/>
      <c r="AC116" s="217"/>
      <c r="AD116" s="224"/>
      <c r="AE116" s="489"/>
    </row>
    <row r="117" spans="3:31" ht="16.2" customHeight="1">
      <c r="C117" s="489"/>
      <c r="D117" s="489"/>
      <c r="E117" s="217"/>
      <c r="F117" s="224"/>
      <c r="G117" s="224"/>
      <c r="H117" s="224"/>
      <c r="I117" s="489"/>
      <c r="J117" s="489"/>
      <c r="K117" s="217"/>
      <c r="L117" s="224"/>
      <c r="M117" s="224"/>
      <c r="N117" s="224"/>
      <c r="O117" s="489"/>
      <c r="P117" s="489"/>
      <c r="Q117" s="217"/>
      <c r="R117" s="224"/>
      <c r="S117" s="224"/>
      <c r="T117" s="224"/>
      <c r="U117" s="489"/>
      <c r="V117" s="489"/>
      <c r="W117" s="217"/>
      <c r="X117" s="224"/>
      <c r="Y117" s="224"/>
      <c r="Z117" s="224"/>
      <c r="AA117" s="489"/>
      <c r="AB117" s="489"/>
      <c r="AC117" s="217"/>
      <c r="AD117" s="224"/>
      <c r="AE117" s="489"/>
    </row>
    <row r="118" spans="3:31" ht="16.2" customHeight="1">
      <c r="C118" s="489"/>
      <c r="D118" s="489"/>
      <c r="E118" s="217"/>
      <c r="F118" s="224"/>
      <c r="G118" s="224"/>
      <c r="H118" s="224"/>
      <c r="I118" s="489"/>
      <c r="J118" s="489"/>
      <c r="K118" s="217"/>
      <c r="L118" s="224"/>
      <c r="M118" s="224"/>
      <c r="N118" s="224"/>
      <c r="O118" s="489"/>
      <c r="P118" s="489"/>
      <c r="Q118" s="217"/>
      <c r="R118" s="224"/>
      <c r="S118" s="224"/>
      <c r="T118" s="224"/>
      <c r="U118" s="489"/>
      <c r="V118" s="489"/>
      <c r="W118" s="217"/>
      <c r="X118" s="224"/>
      <c r="Y118" s="224"/>
      <c r="Z118" s="224"/>
      <c r="AA118" s="489"/>
      <c r="AB118" s="489"/>
      <c r="AC118" s="217"/>
      <c r="AD118" s="224"/>
      <c r="AE118" s="489"/>
    </row>
    <row r="119" spans="3:31" ht="16.2" customHeight="1">
      <c r="C119" s="489"/>
      <c r="D119" s="489"/>
      <c r="E119" s="217"/>
      <c r="F119" s="224"/>
      <c r="G119" s="224"/>
      <c r="H119" s="224"/>
      <c r="I119" s="489"/>
      <c r="J119" s="489"/>
      <c r="K119" s="217"/>
      <c r="L119" s="224"/>
      <c r="M119" s="224"/>
      <c r="N119" s="224"/>
      <c r="O119" s="489"/>
      <c r="P119" s="489"/>
      <c r="Q119" s="217"/>
      <c r="R119" s="224"/>
      <c r="S119" s="224"/>
      <c r="T119" s="224"/>
      <c r="U119" s="489"/>
      <c r="V119" s="489"/>
      <c r="W119" s="217"/>
      <c r="X119" s="224"/>
      <c r="Y119" s="224"/>
      <c r="Z119" s="224"/>
      <c r="AA119" s="489"/>
      <c r="AB119" s="489"/>
      <c r="AC119" s="217"/>
      <c r="AD119" s="224"/>
      <c r="AE119" s="489"/>
    </row>
    <row r="120" spans="3:31" ht="16.2" customHeight="1">
      <c r="C120" s="489"/>
      <c r="D120" s="489"/>
      <c r="E120" s="217"/>
      <c r="F120" s="224"/>
      <c r="G120" s="224"/>
      <c r="H120" s="224"/>
      <c r="I120" s="489"/>
      <c r="J120" s="489"/>
      <c r="K120" s="217"/>
      <c r="L120" s="224"/>
      <c r="M120" s="224"/>
      <c r="N120" s="224"/>
      <c r="O120" s="489"/>
      <c r="P120" s="489"/>
      <c r="Q120" s="217"/>
      <c r="R120" s="224"/>
      <c r="S120" s="224"/>
      <c r="T120" s="224"/>
      <c r="U120" s="489"/>
      <c r="V120" s="489"/>
      <c r="W120" s="217"/>
      <c r="X120" s="224"/>
      <c r="Y120" s="224"/>
      <c r="Z120" s="224"/>
      <c r="AA120" s="489"/>
      <c r="AB120" s="489"/>
      <c r="AC120" s="217"/>
      <c r="AD120" s="224"/>
      <c r="AE120" s="489"/>
    </row>
    <row r="121" spans="3:31" ht="16.2" customHeight="1">
      <c r="C121" s="489"/>
      <c r="D121" s="489"/>
      <c r="E121" s="217"/>
      <c r="F121" s="224"/>
      <c r="G121" s="224"/>
      <c r="H121" s="224"/>
      <c r="I121" s="489"/>
      <c r="J121" s="489"/>
      <c r="K121" s="217"/>
      <c r="L121" s="224"/>
      <c r="M121" s="224"/>
      <c r="N121" s="224"/>
      <c r="O121" s="489"/>
      <c r="P121" s="489"/>
      <c r="Q121" s="217"/>
      <c r="R121" s="224"/>
      <c r="S121" s="224"/>
      <c r="T121" s="224"/>
      <c r="U121" s="489"/>
      <c r="V121" s="489"/>
      <c r="W121" s="217"/>
      <c r="X121" s="224"/>
      <c r="Y121" s="224"/>
      <c r="Z121" s="224"/>
      <c r="AA121" s="489"/>
      <c r="AB121" s="489"/>
      <c r="AC121" s="217"/>
      <c r="AD121" s="224"/>
      <c r="AE121" s="489"/>
    </row>
    <row r="122" spans="3:31" ht="16.2" customHeight="1">
      <c r="C122" s="489"/>
      <c r="D122" s="489"/>
      <c r="E122" s="217"/>
      <c r="F122" s="224"/>
      <c r="G122" s="224"/>
      <c r="H122" s="224"/>
      <c r="I122" s="489"/>
      <c r="J122" s="489"/>
      <c r="K122" s="217"/>
      <c r="L122" s="224"/>
      <c r="M122" s="224"/>
      <c r="N122" s="224"/>
      <c r="O122" s="489"/>
      <c r="P122" s="489"/>
      <c r="Q122" s="217"/>
      <c r="R122" s="224"/>
      <c r="S122" s="224"/>
      <c r="T122" s="224"/>
      <c r="U122" s="489"/>
      <c r="V122" s="489"/>
      <c r="W122" s="217"/>
      <c r="X122" s="224"/>
      <c r="Y122" s="224"/>
      <c r="Z122" s="224"/>
      <c r="AA122" s="489"/>
      <c r="AB122" s="489"/>
      <c r="AC122" s="217"/>
      <c r="AD122" s="224"/>
      <c r="AE122" s="489"/>
    </row>
  </sheetData>
  <sheetProtection formatCells="0"/>
  <mergeCells count="14">
    <mergeCell ref="AA7:AE8"/>
    <mergeCell ref="C2:F3"/>
    <mergeCell ref="AA10:AD10"/>
    <mergeCell ref="D5:L6"/>
    <mergeCell ref="D7:L8"/>
    <mergeCell ref="C10:F10"/>
    <mergeCell ref="I10:L10"/>
    <mergeCell ref="O10:R10"/>
    <mergeCell ref="U10:X10"/>
    <mergeCell ref="W5:X5"/>
    <mergeCell ref="W7:X7"/>
    <mergeCell ref="P5:V6"/>
    <mergeCell ref="P7:Q8"/>
    <mergeCell ref="AA5:AC6"/>
  </mergeCells>
  <phoneticPr fontId="2"/>
  <conditionalFormatting sqref="F13:F23 R13:R23 F27 R27 F32:F34 R32:R35 L13:L22 L27 X13:X23 X27 X32:X35">
    <cfRule type="cellIs" dxfId="30" priority="1" operator="greaterThan">
      <formula>D13</formula>
    </cfRule>
  </conditionalFormatting>
  <conditionalFormatting sqref="L32:L35">
    <cfRule type="cellIs" dxfId="29" priority="27" operator="greaterThan">
      <formula>J32</formula>
    </cfRule>
  </conditionalFormatting>
  <hyperlinks>
    <hyperlink ref="C2:F3" location="提案表紙!A1" display="大阪府折込資料表" xr:uid="{00000000-0004-0000-11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7" orientation="landscape" horizontalDpi="300" verticalDpi="300" r:id="rId1"/>
  <headerFooter alignWithMargins="0">
    <oddFooter xml:space="preserve">&amp;L高槻市・三島市・摂津市&amp;RP-14/34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4">
    <tabColor rgb="FFB6D2F5"/>
    <pageSetUpPr fitToPage="1"/>
  </sheetPr>
  <dimension ref="A1:AE524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4414062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759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760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762</v>
      </c>
      <c r="P7" s="827">
        <f>提案表紙!G9</f>
        <v>0</v>
      </c>
      <c r="Q7" s="828"/>
      <c r="R7" s="7" t="s">
        <v>676</v>
      </c>
      <c r="S7"/>
      <c r="T7"/>
      <c r="U7" s="410">
        <f>枚方市折込部数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1418</v>
      </c>
      <c r="C12" s="46" t="s">
        <v>915</v>
      </c>
      <c r="D12"/>
      <c r="G12" s="51">
        <v>2</v>
      </c>
      <c r="H12" s="488" t="s">
        <v>1418</v>
      </c>
      <c r="J12"/>
      <c r="K12" s="15"/>
      <c r="M12" s="51">
        <v>2</v>
      </c>
      <c r="N12" s="488" t="s">
        <v>1418</v>
      </c>
      <c r="Q12" s="15"/>
      <c r="R12"/>
      <c r="S12" s="51">
        <v>2</v>
      </c>
      <c r="T12" s="488" t="s">
        <v>1418</v>
      </c>
      <c r="W12" s="15"/>
      <c r="X12"/>
      <c r="Y12" s="51">
        <v>2</v>
      </c>
      <c r="Z12" s="488" t="s">
        <v>1418</v>
      </c>
      <c r="AB12" s="15"/>
      <c r="AC12"/>
      <c r="AD12"/>
    </row>
    <row r="13" spans="1:31" ht="16.2" customHeight="1">
      <c r="A13" s="51">
        <v>3</v>
      </c>
      <c r="B13" s="51">
        <v>72227</v>
      </c>
      <c r="C13" s="441" t="s">
        <v>1552</v>
      </c>
      <c r="D13" s="148">
        <v>800</v>
      </c>
      <c r="E13" s="155"/>
      <c r="F13" s="404"/>
      <c r="G13" s="51">
        <v>3</v>
      </c>
      <c r="H13" s="51">
        <v>73225</v>
      </c>
      <c r="I13" s="441" t="s">
        <v>575</v>
      </c>
      <c r="J13" s="148">
        <v>1800</v>
      </c>
      <c r="K13" s="155"/>
      <c r="L13" s="404"/>
      <c r="M13" s="51">
        <v>3</v>
      </c>
      <c r="N13" s="51">
        <v>75235</v>
      </c>
      <c r="O13" s="690" t="s">
        <v>569</v>
      </c>
      <c r="P13" s="148">
        <v>700</v>
      </c>
      <c r="Q13" s="130"/>
      <c r="R13" s="404"/>
      <c r="S13" s="51">
        <v>3</v>
      </c>
      <c r="T13" s="51">
        <v>74279</v>
      </c>
      <c r="U13" s="690" t="s">
        <v>569</v>
      </c>
      <c r="V13" s="148">
        <v>2550</v>
      </c>
      <c r="W13" s="155"/>
      <c r="X13" s="404"/>
      <c r="Y13" s="51">
        <v>3</v>
      </c>
      <c r="Z13" s="51"/>
      <c r="AA13" s="688"/>
      <c r="AB13" s="511"/>
      <c r="AC13" s="130"/>
      <c r="AD13" s="541"/>
      <c r="AE13" s="513"/>
    </row>
    <row r="14" spans="1:31" ht="16.2" customHeight="1">
      <c r="A14" s="51">
        <v>3</v>
      </c>
      <c r="B14" s="51">
        <v>72229</v>
      </c>
      <c r="C14" s="386" t="s">
        <v>568</v>
      </c>
      <c r="D14" s="143">
        <v>1300</v>
      </c>
      <c r="E14" s="142"/>
      <c r="F14" s="405"/>
      <c r="G14" s="51">
        <v>3</v>
      </c>
      <c r="H14" s="51">
        <v>73227</v>
      </c>
      <c r="I14" s="386" t="s">
        <v>569</v>
      </c>
      <c r="J14" s="143">
        <v>4200</v>
      </c>
      <c r="K14" s="142"/>
      <c r="L14" s="405"/>
      <c r="M14" s="51">
        <v>3</v>
      </c>
      <c r="N14" s="51">
        <v>75237</v>
      </c>
      <c r="O14" s="386" t="s">
        <v>579</v>
      </c>
      <c r="P14" s="143">
        <v>1350</v>
      </c>
      <c r="Q14" s="168"/>
      <c r="R14" s="405"/>
      <c r="S14" s="51">
        <v>3</v>
      </c>
      <c r="T14" s="51">
        <v>74280</v>
      </c>
      <c r="U14" s="386" t="s">
        <v>1518</v>
      </c>
      <c r="V14" s="496" t="s">
        <v>1566</v>
      </c>
      <c r="W14" s="169"/>
      <c r="X14" s="405"/>
      <c r="Y14" s="51">
        <v>3</v>
      </c>
      <c r="Z14" s="51"/>
      <c r="AA14" s="561"/>
      <c r="AB14" s="515"/>
      <c r="AC14" s="168"/>
      <c r="AD14" s="550"/>
      <c r="AE14" s="516"/>
    </row>
    <row r="15" spans="1:31" ht="16.2" customHeight="1">
      <c r="A15" s="51">
        <v>3</v>
      </c>
      <c r="B15" s="51">
        <v>72233</v>
      </c>
      <c r="C15" s="386" t="s">
        <v>570</v>
      </c>
      <c r="D15" s="143">
        <v>2900</v>
      </c>
      <c r="E15" s="142"/>
      <c r="F15" s="405"/>
      <c r="G15" s="51">
        <v>3</v>
      </c>
      <c r="H15" s="51">
        <v>73229</v>
      </c>
      <c r="I15" s="386" t="s">
        <v>567</v>
      </c>
      <c r="J15" s="143">
        <v>4000</v>
      </c>
      <c r="K15" s="142"/>
      <c r="L15" s="405"/>
      <c r="M15" s="51">
        <v>3</v>
      </c>
      <c r="N15" s="51">
        <v>75239</v>
      </c>
      <c r="O15" s="386" t="s">
        <v>1077</v>
      </c>
      <c r="P15" s="143">
        <v>1750</v>
      </c>
      <c r="Q15" s="168"/>
      <c r="R15" s="405"/>
      <c r="S15" s="51">
        <v>3</v>
      </c>
      <c r="T15" s="51">
        <v>74283</v>
      </c>
      <c r="U15" s="386" t="s">
        <v>1520</v>
      </c>
      <c r="V15" s="496" t="s">
        <v>1617</v>
      </c>
      <c r="W15" s="169"/>
      <c r="X15" s="405"/>
      <c r="Y15" s="51">
        <v>3</v>
      </c>
      <c r="Z15" s="51"/>
      <c r="AA15" s="561"/>
      <c r="AB15" s="515"/>
      <c r="AC15" s="168"/>
      <c r="AD15" s="550"/>
      <c r="AE15" s="516"/>
    </row>
    <row r="16" spans="1:31" ht="16.2" customHeight="1">
      <c r="A16" s="51">
        <v>3</v>
      </c>
      <c r="B16" s="51">
        <v>72239</v>
      </c>
      <c r="C16" s="698" t="s">
        <v>1467</v>
      </c>
      <c r="D16" s="353">
        <v>4000</v>
      </c>
      <c r="E16" s="142"/>
      <c r="F16" s="405"/>
      <c r="G16" s="51">
        <v>3</v>
      </c>
      <c r="H16" s="51">
        <v>73231</v>
      </c>
      <c r="I16" s="386" t="s">
        <v>576</v>
      </c>
      <c r="J16" s="143">
        <v>800</v>
      </c>
      <c r="K16" s="168"/>
      <c r="L16" s="405"/>
      <c r="M16" s="51">
        <v>3</v>
      </c>
      <c r="N16" s="51">
        <v>75241</v>
      </c>
      <c r="O16" s="386" t="s">
        <v>573</v>
      </c>
      <c r="P16" s="143">
        <v>1000</v>
      </c>
      <c r="Q16" s="168"/>
      <c r="R16" s="405"/>
      <c r="S16" s="51">
        <v>3</v>
      </c>
      <c r="T16" s="51">
        <v>74285</v>
      </c>
      <c r="U16" s="386" t="s">
        <v>580</v>
      </c>
      <c r="V16" s="143">
        <v>950</v>
      </c>
      <c r="W16" s="168"/>
      <c r="X16" s="405"/>
      <c r="Y16" s="51">
        <v>3</v>
      </c>
      <c r="Z16" s="51"/>
      <c r="AA16" s="561"/>
      <c r="AB16" s="515"/>
      <c r="AC16" s="168"/>
      <c r="AD16" s="550"/>
      <c r="AE16" s="516"/>
    </row>
    <row r="17" spans="1:31" ht="16.2" customHeight="1">
      <c r="A17" s="51">
        <v>3</v>
      </c>
      <c r="B17" s="51">
        <v>72241</v>
      </c>
      <c r="C17" s="386" t="s">
        <v>572</v>
      </c>
      <c r="D17" s="143">
        <v>2800</v>
      </c>
      <c r="E17" s="142"/>
      <c r="F17" s="405"/>
      <c r="G17" s="51">
        <v>3</v>
      </c>
      <c r="H17" s="51">
        <v>73234</v>
      </c>
      <c r="I17" s="386" t="s">
        <v>1611</v>
      </c>
      <c r="J17" s="143">
        <v>1150</v>
      </c>
      <c r="K17" s="168"/>
      <c r="L17" s="405"/>
      <c r="M17" s="51">
        <v>3</v>
      </c>
      <c r="N17" s="51">
        <v>75242</v>
      </c>
      <c r="O17" s="386" t="s">
        <v>1477</v>
      </c>
      <c r="P17" s="143">
        <v>550</v>
      </c>
      <c r="Q17" s="168"/>
      <c r="R17" s="132"/>
      <c r="S17" s="51">
        <v>3</v>
      </c>
      <c r="T17" s="51">
        <v>74287</v>
      </c>
      <c r="U17" s="386" t="s">
        <v>567</v>
      </c>
      <c r="V17" s="143">
        <v>3000</v>
      </c>
      <c r="W17" s="168"/>
      <c r="X17" s="405"/>
      <c r="Y17" s="51">
        <v>3</v>
      </c>
      <c r="Z17" s="51"/>
      <c r="AA17" s="561"/>
      <c r="AB17" s="515"/>
      <c r="AC17" s="168"/>
      <c r="AD17" s="550"/>
      <c r="AE17" s="516"/>
    </row>
    <row r="18" spans="1:31" ht="16.2" customHeight="1">
      <c r="A18" s="51">
        <v>3</v>
      </c>
      <c r="B18" s="51">
        <v>72243</v>
      </c>
      <c r="C18" s="698" t="s">
        <v>764</v>
      </c>
      <c r="D18" s="353">
        <v>3000</v>
      </c>
      <c r="E18" s="142"/>
      <c r="F18" s="405"/>
      <c r="G18" s="51">
        <v>3</v>
      </c>
      <c r="H18" s="51">
        <v>73236</v>
      </c>
      <c r="I18" s="386" t="s">
        <v>577</v>
      </c>
      <c r="J18" s="143">
        <v>2600</v>
      </c>
      <c r="K18" s="168"/>
      <c r="L18" s="405"/>
      <c r="M18" s="51">
        <v>3</v>
      </c>
      <c r="N18" s="51">
        <v>75243</v>
      </c>
      <c r="O18" s="386" t="s">
        <v>1272</v>
      </c>
      <c r="P18" s="143">
        <v>400</v>
      </c>
      <c r="Q18" s="168"/>
      <c r="R18" s="405"/>
      <c r="S18" s="51">
        <v>3</v>
      </c>
      <c r="T18" s="51">
        <v>74289</v>
      </c>
      <c r="U18" s="386" t="s">
        <v>568</v>
      </c>
      <c r="V18" s="496" t="s">
        <v>1566</v>
      </c>
      <c r="W18" s="168"/>
      <c r="X18" s="405"/>
      <c r="Y18" s="51">
        <v>3</v>
      </c>
      <c r="Z18" s="51"/>
      <c r="AA18" s="561"/>
      <c r="AB18" s="515"/>
      <c r="AC18" s="168"/>
      <c r="AD18" s="550"/>
      <c r="AE18" s="516"/>
    </row>
    <row r="19" spans="1:31" ht="16.2" customHeight="1">
      <c r="A19" s="51">
        <v>3</v>
      </c>
      <c r="B19" s="51">
        <v>72245</v>
      </c>
      <c r="C19" s="698" t="s">
        <v>1516</v>
      </c>
      <c r="D19" s="353">
        <v>4000</v>
      </c>
      <c r="E19" s="142"/>
      <c r="F19" s="405"/>
      <c r="G19" s="51">
        <v>3</v>
      </c>
      <c r="H19" s="51">
        <v>73235</v>
      </c>
      <c r="I19" s="386" t="s">
        <v>578</v>
      </c>
      <c r="J19" s="143">
        <v>1600</v>
      </c>
      <c r="K19" s="168"/>
      <c r="L19" s="405"/>
      <c r="M19" s="51">
        <v>3</v>
      </c>
      <c r="N19" s="51">
        <v>75245</v>
      </c>
      <c r="O19" s="386" t="s">
        <v>578</v>
      </c>
      <c r="P19" s="143">
        <v>1050</v>
      </c>
      <c r="Q19" s="168"/>
      <c r="R19" s="405"/>
      <c r="S19" s="51">
        <v>3</v>
      </c>
      <c r="T19" s="51">
        <v>74291</v>
      </c>
      <c r="U19" s="386" t="s">
        <v>763</v>
      </c>
      <c r="V19" s="143">
        <v>3100</v>
      </c>
      <c r="W19" s="168"/>
      <c r="X19" s="405"/>
      <c r="Y19" s="51">
        <v>3</v>
      </c>
      <c r="Z19" s="51"/>
      <c r="AA19" s="561"/>
      <c r="AB19" s="515"/>
      <c r="AC19" s="168"/>
      <c r="AD19" s="550"/>
      <c r="AE19" s="516"/>
    </row>
    <row r="20" spans="1:31" ht="16.2" customHeight="1">
      <c r="A20" s="51">
        <v>3</v>
      </c>
      <c r="B20" s="51"/>
      <c r="C20" s="698"/>
      <c r="D20" s="353"/>
      <c r="E20" s="138"/>
      <c r="F20" s="405"/>
      <c r="G20" s="51">
        <v>3</v>
      </c>
      <c r="H20" s="51">
        <v>73237</v>
      </c>
      <c r="I20" s="386" t="s">
        <v>571</v>
      </c>
      <c r="J20" s="143">
        <v>1100</v>
      </c>
      <c r="K20" s="168"/>
      <c r="L20" s="405"/>
      <c r="M20" s="51">
        <v>3</v>
      </c>
      <c r="N20" s="51">
        <v>75247</v>
      </c>
      <c r="O20" s="386" t="s">
        <v>1321</v>
      </c>
      <c r="P20" s="143">
        <v>900</v>
      </c>
      <c r="Q20" s="168"/>
      <c r="R20" s="405"/>
      <c r="S20" s="51">
        <v>3</v>
      </c>
      <c r="T20" s="51">
        <v>74293</v>
      </c>
      <c r="U20" s="386" t="s">
        <v>581</v>
      </c>
      <c r="V20" s="143">
        <v>2800</v>
      </c>
      <c r="W20" s="168"/>
      <c r="X20" s="405"/>
      <c r="Y20" s="51">
        <v>3</v>
      </c>
      <c r="Z20" s="51"/>
      <c r="AA20" s="561"/>
      <c r="AB20" s="515"/>
      <c r="AC20" s="168"/>
      <c r="AD20" s="550"/>
      <c r="AE20" s="516"/>
    </row>
    <row r="21" spans="1:31" ht="16.2" customHeight="1">
      <c r="A21" s="51">
        <v>3</v>
      </c>
      <c r="B21" s="51"/>
      <c r="C21" s="698"/>
      <c r="D21" s="353"/>
      <c r="E21" s="142"/>
      <c r="F21" s="405"/>
      <c r="G21" s="51">
        <v>3</v>
      </c>
      <c r="H21" s="51"/>
      <c r="I21" s="386"/>
      <c r="J21" s="143"/>
      <c r="K21" s="168"/>
      <c r="L21" s="405"/>
      <c r="M21" s="51">
        <v>3</v>
      </c>
      <c r="N21" s="51">
        <v>75249</v>
      </c>
      <c r="O21" s="386" t="s">
        <v>571</v>
      </c>
      <c r="P21" s="143">
        <v>1550</v>
      </c>
      <c r="Q21" s="168"/>
      <c r="R21" s="405"/>
      <c r="S21" s="51">
        <v>3</v>
      </c>
      <c r="T21" s="51">
        <v>74295</v>
      </c>
      <c r="U21" s="386" t="s">
        <v>577</v>
      </c>
      <c r="V21" s="353">
        <v>4400</v>
      </c>
      <c r="W21" s="168"/>
      <c r="X21" s="405"/>
      <c r="Y21" s="51">
        <v>3</v>
      </c>
      <c r="Z21" s="51"/>
      <c r="AA21" s="561"/>
      <c r="AB21" s="515"/>
      <c r="AC21" s="168"/>
      <c r="AD21" s="550"/>
      <c r="AE21" s="516"/>
    </row>
    <row r="22" spans="1:31" ht="16.2" customHeight="1">
      <c r="A22" s="51">
        <v>3</v>
      </c>
      <c r="B22" s="51"/>
      <c r="C22" s="698"/>
      <c r="D22" s="353"/>
      <c r="E22" s="138"/>
      <c r="F22" s="405"/>
      <c r="G22" s="51">
        <v>3</v>
      </c>
      <c r="H22" s="51"/>
      <c r="I22" s="698"/>
      <c r="J22" s="353"/>
      <c r="K22" s="169"/>
      <c r="L22" s="405"/>
      <c r="M22" s="51">
        <v>3</v>
      </c>
      <c r="N22" s="51"/>
      <c r="O22" s="512"/>
      <c r="P22" s="519"/>
      <c r="Q22" s="169"/>
      <c r="R22" s="164"/>
      <c r="S22" s="51">
        <v>3</v>
      </c>
      <c r="T22" s="51">
        <v>74299</v>
      </c>
      <c r="U22" s="386" t="s">
        <v>1641</v>
      </c>
      <c r="V22" s="353">
        <v>3350</v>
      </c>
      <c r="W22" s="168"/>
      <c r="X22" s="405"/>
      <c r="Y22" s="51">
        <v>3</v>
      </c>
      <c r="Z22" s="51"/>
      <c r="AA22" s="699"/>
      <c r="AB22" s="519"/>
      <c r="AC22" s="169"/>
      <c r="AD22" s="562"/>
      <c r="AE22" s="516"/>
    </row>
    <row r="23" spans="1:31" ht="16.2" customHeight="1">
      <c r="A23" s="51">
        <v>3</v>
      </c>
      <c r="B23" s="51"/>
      <c r="C23" s="698"/>
      <c r="D23" s="353"/>
      <c r="E23" s="138"/>
      <c r="F23" s="405"/>
      <c r="G23" s="51">
        <v>3</v>
      </c>
      <c r="H23" s="51"/>
      <c r="I23" s="520"/>
      <c r="J23" s="208"/>
      <c r="K23" s="169"/>
      <c r="L23" s="133"/>
      <c r="M23" s="51">
        <v>3</v>
      </c>
      <c r="N23" s="51"/>
      <c r="O23" s="699"/>
      <c r="P23" s="519"/>
      <c r="Q23" s="169"/>
      <c r="R23" s="164"/>
      <c r="S23" s="51">
        <v>3</v>
      </c>
      <c r="T23" s="51">
        <v>74301</v>
      </c>
      <c r="U23" s="386" t="s">
        <v>1356</v>
      </c>
      <c r="V23" s="353">
        <v>4300</v>
      </c>
      <c r="W23" s="169"/>
      <c r="X23" s="405"/>
      <c r="Y23" s="51">
        <v>3</v>
      </c>
      <c r="Z23" s="51"/>
      <c r="AA23" s="699"/>
      <c r="AB23" s="519"/>
      <c r="AC23" s="169"/>
      <c r="AD23" s="562"/>
      <c r="AE23" s="516"/>
    </row>
    <row r="24" spans="1:31" ht="16.2" customHeight="1">
      <c r="A24" s="51">
        <v>3</v>
      </c>
      <c r="B24" s="51"/>
      <c r="C24" s="698"/>
      <c r="D24" s="353"/>
      <c r="E24" s="138"/>
      <c r="F24" s="405"/>
      <c r="G24" s="51">
        <v>3</v>
      </c>
      <c r="H24" s="51"/>
      <c r="I24" s="520"/>
      <c r="J24" s="208"/>
      <c r="K24" s="169"/>
      <c r="L24" s="133"/>
      <c r="M24" s="51">
        <v>3</v>
      </c>
      <c r="N24" s="51"/>
      <c r="O24" s="699"/>
      <c r="P24" s="519"/>
      <c r="Q24" s="169"/>
      <c r="R24" s="164"/>
      <c r="S24" s="51">
        <v>3</v>
      </c>
      <c r="T24" s="51">
        <v>74303</v>
      </c>
      <c r="U24" s="386" t="s">
        <v>1350</v>
      </c>
      <c r="V24" s="353">
        <v>4000</v>
      </c>
      <c r="W24" s="169"/>
      <c r="X24" s="405"/>
      <c r="Y24" s="51">
        <v>3</v>
      </c>
      <c r="Z24" s="51"/>
      <c r="AA24" s="699"/>
      <c r="AB24" s="519"/>
      <c r="AC24" s="169"/>
      <c r="AD24" s="562"/>
      <c r="AE24" s="516"/>
    </row>
    <row r="25" spans="1:31" ht="16.2" customHeight="1">
      <c r="A25" s="51">
        <v>3</v>
      </c>
      <c r="B25" s="51"/>
      <c r="C25" s="698"/>
      <c r="D25" s="353"/>
      <c r="E25" s="138"/>
      <c r="F25" s="133"/>
      <c r="G25" s="51">
        <v>3</v>
      </c>
      <c r="H25" s="51"/>
      <c r="I25" s="520"/>
      <c r="J25" s="208"/>
      <c r="K25" s="169"/>
      <c r="L25" s="133"/>
      <c r="M25" s="51">
        <v>3</v>
      </c>
      <c r="N25" s="51"/>
      <c r="O25" s="699"/>
      <c r="P25" s="519"/>
      <c r="Q25" s="169"/>
      <c r="R25" s="164"/>
      <c r="S25" s="51">
        <v>3</v>
      </c>
      <c r="T25" s="51">
        <v>74305</v>
      </c>
      <c r="U25" s="386" t="s">
        <v>582</v>
      </c>
      <c r="V25" s="353">
        <v>750</v>
      </c>
      <c r="W25" s="169"/>
      <c r="X25" s="405"/>
      <c r="Y25" s="51">
        <v>3</v>
      </c>
      <c r="Z25" s="51"/>
      <c r="AA25" s="699"/>
      <c r="AB25" s="519"/>
      <c r="AC25" s="169"/>
      <c r="AD25" s="562"/>
      <c r="AE25" s="516"/>
    </row>
    <row r="26" spans="1:31" ht="16.2" customHeight="1">
      <c r="A26" s="51">
        <v>3</v>
      </c>
      <c r="B26" s="51"/>
      <c r="C26" s="520"/>
      <c r="D26" s="208"/>
      <c r="E26" s="138"/>
      <c r="F26" s="133"/>
      <c r="G26" s="51">
        <v>3</v>
      </c>
      <c r="H26" s="51"/>
      <c r="I26" s="520"/>
      <c r="J26" s="208"/>
      <c r="K26" s="169"/>
      <c r="L26" s="133"/>
      <c r="M26" s="51">
        <v>3</v>
      </c>
      <c r="N26" s="51"/>
      <c r="O26" s="699"/>
      <c r="P26" s="519"/>
      <c r="Q26" s="169"/>
      <c r="R26" s="164"/>
      <c r="S26" s="51">
        <v>3</v>
      </c>
      <c r="T26" s="51"/>
      <c r="U26" s="386"/>
      <c r="V26" s="353"/>
      <c r="W26" s="169"/>
      <c r="X26" s="405"/>
      <c r="Y26" s="51">
        <v>3</v>
      </c>
      <c r="Z26" s="51"/>
      <c r="AA26" s="699"/>
      <c r="AB26" s="519"/>
      <c r="AC26" s="169"/>
      <c r="AD26" s="562"/>
      <c r="AE26" s="516"/>
    </row>
    <row r="27" spans="1:31" ht="16.2" customHeight="1">
      <c r="A27" s="51">
        <v>3</v>
      </c>
      <c r="B27" s="51"/>
      <c r="C27" s="520"/>
      <c r="D27" s="208"/>
      <c r="E27" s="138"/>
      <c r="F27" s="133"/>
      <c r="G27" s="51">
        <v>3</v>
      </c>
      <c r="H27" s="51"/>
      <c r="I27" s="520"/>
      <c r="J27" s="208"/>
      <c r="K27" s="169"/>
      <c r="L27" s="133"/>
      <c r="M27" s="51">
        <v>3</v>
      </c>
      <c r="N27" s="51"/>
      <c r="O27" s="699"/>
      <c r="P27" s="519"/>
      <c r="Q27" s="169"/>
      <c r="R27" s="164"/>
      <c r="S27" s="51">
        <v>3</v>
      </c>
      <c r="T27" s="51"/>
      <c r="U27" s="386"/>
      <c r="V27" s="353"/>
      <c r="W27" s="169"/>
      <c r="X27" s="405"/>
      <c r="Y27" s="51">
        <v>3</v>
      </c>
      <c r="Z27" s="51"/>
      <c r="AA27" s="699"/>
      <c r="AB27" s="519"/>
      <c r="AC27" s="169"/>
      <c r="AD27" s="562"/>
      <c r="AE27" s="516"/>
    </row>
    <row r="28" spans="1:31" ht="16.2" customHeight="1">
      <c r="A28" s="51">
        <v>3</v>
      </c>
      <c r="B28" s="51"/>
      <c r="C28" s="520"/>
      <c r="D28" s="208"/>
      <c r="E28" s="138"/>
      <c r="F28" s="133"/>
      <c r="G28" s="51">
        <v>3</v>
      </c>
      <c r="H28" s="51"/>
      <c r="I28" s="520"/>
      <c r="J28" s="208"/>
      <c r="K28" s="169"/>
      <c r="L28" s="133"/>
      <c r="M28" s="51">
        <v>3</v>
      </c>
      <c r="N28" s="51"/>
      <c r="O28" s="699"/>
      <c r="P28" s="519"/>
      <c r="Q28" s="169"/>
      <c r="R28" s="164"/>
      <c r="S28" s="51">
        <v>3</v>
      </c>
      <c r="T28" s="51"/>
      <c r="U28" s="386"/>
      <c r="V28" s="353"/>
      <c r="W28" s="169"/>
      <c r="X28" s="405"/>
      <c r="Y28" s="51">
        <v>3</v>
      </c>
      <c r="Z28" s="51"/>
      <c r="AA28" s="699"/>
      <c r="AB28" s="519"/>
      <c r="AC28" s="169"/>
      <c r="AD28" s="562"/>
      <c r="AE28" s="516"/>
    </row>
    <row r="29" spans="1:31" ht="16.2" customHeight="1">
      <c r="A29" s="51">
        <v>3</v>
      </c>
      <c r="B29" s="51"/>
      <c r="C29" s="520"/>
      <c r="D29" s="208"/>
      <c r="E29" s="138"/>
      <c r="F29" s="133"/>
      <c r="G29" s="51">
        <v>3</v>
      </c>
      <c r="H29" s="51"/>
      <c r="I29" s="520"/>
      <c r="J29" s="208"/>
      <c r="K29" s="169"/>
      <c r="L29" s="133"/>
      <c r="M29" s="51">
        <v>3</v>
      </c>
      <c r="N29" s="51"/>
      <c r="O29" s="699"/>
      <c r="P29" s="519"/>
      <c r="Q29" s="169"/>
      <c r="R29" s="164"/>
      <c r="S29" s="51">
        <v>3</v>
      </c>
      <c r="T29" s="51"/>
      <c r="U29" s="386"/>
      <c r="V29" s="353"/>
      <c r="W29" s="169"/>
      <c r="X29" s="405"/>
      <c r="Y29" s="51">
        <v>3</v>
      </c>
      <c r="Z29" s="51"/>
      <c r="AA29" s="699"/>
      <c r="AB29" s="519"/>
      <c r="AC29" s="169"/>
      <c r="AD29" s="562"/>
      <c r="AE29" s="516"/>
    </row>
    <row r="30" spans="1:31" ht="16.2" customHeight="1">
      <c r="A30" s="51">
        <v>3</v>
      </c>
      <c r="B30" s="51"/>
      <c r="C30" s="520"/>
      <c r="D30" s="208"/>
      <c r="E30" s="138"/>
      <c r="F30" s="133"/>
      <c r="G30" s="51">
        <v>3</v>
      </c>
      <c r="H30" s="51"/>
      <c r="I30" s="520"/>
      <c r="J30" s="208"/>
      <c r="K30" s="169"/>
      <c r="L30" s="133"/>
      <c r="M30" s="51">
        <v>3</v>
      </c>
      <c r="N30" s="51"/>
      <c r="O30" s="699"/>
      <c r="P30" s="519"/>
      <c r="Q30" s="169"/>
      <c r="R30" s="164"/>
      <c r="S30" s="51">
        <v>3</v>
      </c>
      <c r="T30" s="51"/>
      <c r="U30" s="386"/>
      <c r="V30" s="353"/>
      <c r="W30" s="169"/>
      <c r="X30" s="405"/>
      <c r="Y30" s="51">
        <v>3</v>
      </c>
      <c r="Z30" s="51"/>
      <c r="AA30" s="699"/>
      <c r="AB30" s="519"/>
      <c r="AC30" s="169"/>
      <c r="AD30" s="562"/>
      <c r="AE30" s="516"/>
    </row>
    <row r="31" spans="1:31" ht="16.2" customHeight="1">
      <c r="A31" s="51">
        <v>3</v>
      </c>
      <c r="B31" s="51"/>
      <c r="C31" s="520"/>
      <c r="D31" s="208"/>
      <c r="E31" s="138"/>
      <c r="F31" s="133"/>
      <c r="G31" s="51">
        <v>3</v>
      </c>
      <c r="H31" s="51"/>
      <c r="I31" s="520"/>
      <c r="J31" s="208"/>
      <c r="K31" s="169"/>
      <c r="L31" s="133"/>
      <c r="M31" s="51">
        <v>3</v>
      </c>
      <c r="N31" s="51"/>
      <c r="O31" s="699"/>
      <c r="P31" s="519"/>
      <c r="Q31" s="169"/>
      <c r="R31" s="164"/>
      <c r="S31" s="51">
        <v>3</v>
      </c>
      <c r="T31" s="51"/>
      <c r="U31" s="698"/>
      <c r="V31" s="353"/>
      <c r="W31" s="169"/>
      <c r="X31" s="405"/>
      <c r="Y31" s="51">
        <v>3</v>
      </c>
      <c r="Z31" s="51"/>
      <c r="AA31" s="699"/>
      <c r="AB31" s="519"/>
      <c r="AC31" s="169"/>
      <c r="AD31" s="562"/>
      <c r="AE31" s="516"/>
    </row>
    <row r="32" spans="1:31" ht="16.2" customHeight="1">
      <c r="A32" s="51">
        <v>3</v>
      </c>
      <c r="B32" s="51"/>
      <c r="C32" s="520"/>
      <c r="D32" s="208"/>
      <c r="E32" s="138"/>
      <c r="F32" s="133"/>
      <c r="G32" s="51">
        <v>3</v>
      </c>
      <c r="H32" s="51"/>
      <c r="I32" s="520"/>
      <c r="J32" s="208"/>
      <c r="K32" s="169"/>
      <c r="L32" s="133"/>
      <c r="M32" s="51">
        <v>3</v>
      </c>
      <c r="N32" s="51"/>
      <c r="O32" s="699"/>
      <c r="P32" s="519"/>
      <c r="Q32" s="169"/>
      <c r="R32" s="164"/>
      <c r="S32" s="51">
        <v>3</v>
      </c>
      <c r="T32" s="51"/>
      <c r="U32" s="698"/>
      <c r="V32" s="353"/>
      <c r="W32" s="169"/>
      <c r="X32" s="405"/>
      <c r="Y32" s="51">
        <v>3</v>
      </c>
      <c r="Z32" s="51"/>
      <c r="AA32" s="699"/>
      <c r="AB32" s="519"/>
      <c r="AC32" s="169"/>
      <c r="AD32" s="562"/>
      <c r="AE32" s="516"/>
    </row>
    <row r="33" spans="1:31" ht="16.2" customHeight="1">
      <c r="A33" s="51">
        <v>3</v>
      </c>
      <c r="B33" s="51"/>
      <c r="C33" s="520"/>
      <c r="D33" s="208"/>
      <c r="E33" s="138"/>
      <c r="F33" s="133"/>
      <c r="G33" s="51">
        <v>3</v>
      </c>
      <c r="H33" s="51"/>
      <c r="I33" s="520"/>
      <c r="J33" s="208"/>
      <c r="K33" s="169"/>
      <c r="L33" s="133"/>
      <c r="M33" s="51">
        <v>3</v>
      </c>
      <c r="N33" s="51"/>
      <c r="O33" s="699"/>
      <c r="P33" s="519"/>
      <c r="Q33" s="169"/>
      <c r="R33" s="164"/>
      <c r="S33" s="51">
        <v>3</v>
      </c>
      <c r="T33" s="51"/>
      <c r="U33" s="698"/>
      <c r="V33" s="353"/>
      <c r="W33" s="169"/>
      <c r="X33" s="455"/>
      <c r="Y33" s="51">
        <v>3</v>
      </c>
      <c r="Z33" s="51"/>
      <c r="AA33" s="699"/>
      <c r="AB33" s="519"/>
      <c r="AC33" s="169"/>
      <c r="AD33" s="562"/>
      <c r="AE33" s="516"/>
    </row>
    <row r="34" spans="1:31" ht="16.2" customHeight="1" thickBot="1">
      <c r="A34" s="51">
        <v>3</v>
      </c>
      <c r="B34" s="51"/>
      <c r="C34" s="520"/>
      <c r="D34" s="208"/>
      <c r="E34" s="167"/>
      <c r="F34" s="133"/>
      <c r="G34" s="51">
        <v>3</v>
      </c>
      <c r="H34" s="51"/>
      <c r="I34" s="520"/>
      <c r="J34" s="208"/>
      <c r="K34" s="169"/>
      <c r="L34" s="133"/>
      <c r="M34" s="51">
        <v>3</v>
      </c>
      <c r="N34" s="51"/>
      <c r="O34" s="699"/>
      <c r="P34" s="519"/>
      <c r="Q34" s="169"/>
      <c r="R34" s="164"/>
      <c r="S34" s="51">
        <v>3</v>
      </c>
      <c r="T34" s="51"/>
      <c r="U34" s="725"/>
      <c r="V34" s="452"/>
      <c r="W34" s="312"/>
      <c r="X34" s="453"/>
      <c r="Y34" s="51">
        <v>3</v>
      </c>
      <c r="Z34" s="51"/>
      <c r="AA34" s="699"/>
      <c r="AB34" s="519"/>
      <c r="AC34" s="169"/>
      <c r="AD34" s="562"/>
      <c r="AE34" s="516"/>
    </row>
    <row r="35" spans="1:31" ht="16.2" customHeight="1" thickTop="1">
      <c r="A35" s="51">
        <v>4</v>
      </c>
      <c r="B35" s="51"/>
      <c r="C35" s="523" t="s">
        <v>692</v>
      </c>
      <c r="D35" s="27">
        <f>SUM(D13:D34)</f>
        <v>18800</v>
      </c>
      <c r="E35" s="34"/>
      <c r="F35" s="75">
        <f>SUM(F13:F34)</f>
        <v>0</v>
      </c>
      <c r="G35" s="51">
        <v>4</v>
      </c>
      <c r="H35" s="51"/>
      <c r="I35" s="523" t="s">
        <v>692</v>
      </c>
      <c r="J35" s="27">
        <f>SUM(J13:J34)</f>
        <v>17250</v>
      </c>
      <c r="K35" s="37"/>
      <c r="L35" s="75">
        <f>SUM(L13:L34)</f>
        <v>0</v>
      </c>
      <c r="M35" s="51">
        <v>4</v>
      </c>
      <c r="N35" s="51"/>
      <c r="O35" s="523" t="s">
        <v>692</v>
      </c>
      <c r="P35" s="27">
        <f>SUM(P13:P34)</f>
        <v>9250</v>
      </c>
      <c r="Q35" s="37"/>
      <c r="R35" s="75">
        <f>SUM(R13:R34)</f>
        <v>0</v>
      </c>
      <c r="S35" s="51">
        <v>4</v>
      </c>
      <c r="T35" s="51"/>
      <c r="U35" s="523" t="s">
        <v>692</v>
      </c>
      <c r="V35" s="27">
        <f>SUM(V13:V34)</f>
        <v>29200</v>
      </c>
      <c r="W35" s="37"/>
      <c r="X35" s="75">
        <f>SUM(X13:X34)</f>
        <v>0</v>
      </c>
      <c r="Y35" s="51">
        <v>4</v>
      </c>
      <c r="Z35" s="51"/>
      <c r="AA35" s="523" t="s">
        <v>692</v>
      </c>
      <c r="AB35" s="522">
        <f>SUM(AB13:AB34)</f>
        <v>0</v>
      </c>
      <c r="AC35" s="37"/>
      <c r="AD35" s="689">
        <f>SUM(AD13:AD34)</f>
        <v>0</v>
      </c>
      <c r="AE35" s="524">
        <f>D35+J35+P35+V35+AB35</f>
        <v>74500</v>
      </c>
    </row>
    <row r="36" spans="1:31" ht="16.2" customHeight="1">
      <c r="A36" s="51">
        <v>9</v>
      </c>
      <c r="B36" s="51"/>
      <c r="C36" s="526"/>
      <c r="D36" s="210"/>
      <c r="E36" s="228"/>
      <c r="F36" s="229"/>
      <c r="G36" s="51">
        <v>9</v>
      </c>
      <c r="H36" s="51"/>
      <c r="I36" s="526"/>
      <c r="J36" s="210"/>
      <c r="K36" s="230"/>
      <c r="L36" s="231"/>
      <c r="M36" s="51">
        <v>9</v>
      </c>
      <c r="N36" s="51"/>
      <c r="O36" s="526"/>
      <c r="P36" s="526"/>
      <c r="Q36" s="230"/>
      <c r="R36" s="229"/>
      <c r="S36" s="51">
        <v>9</v>
      </c>
      <c r="T36" s="51"/>
      <c r="U36" s="526"/>
      <c r="V36" s="526"/>
      <c r="W36" s="230"/>
      <c r="X36" s="229"/>
      <c r="Y36" s="51">
        <v>9</v>
      </c>
      <c r="Z36" s="51"/>
      <c r="AA36" s="526"/>
      <c r="AB36" s="526"/>
      <c r="AC36" s="36"/>
      <c r="AD36" s="527" t="s">
        <v>692</v>
      </c>
      <c r="AE36" s="93">
        <f>A枚方市折込部数+M枚方市折込部数+S枚方市折込部数+Y枚方市折込部数+AD35</f>
        <v>0</v>
      </c>
    </row>
    <row r="37" spans="1:31" ht="16.2" customHeight="1">
      <c r="D37" s="1"/>
      <c r="J37" s="1"/>
      <c r="L37" s="233"/>
      <c r="M37" s="272"/>
      <c r="N37" s="272"/>
      <c r="O37" s="489"/>
      <c r="P37" s="489"/>
      <c r="Q37" s="224"/>
      <c r="R37" s="233"/>
      <c r="S37" s="233"/>
      <c r="T37" s="233"/>
      <c r="U37" s="489"/>
      <c r="V37" s="489"/>
      <c r="W37" s="224"/>
      <c r="X37" s="224"/>
      <c r="Y37" s="224"/>
      <c r="Z37" s="224"/>
      <c r="AA37" s="489"/>
      <c r="AB37" s="489"/>
      <c r="AC37" s="224"/>
      <c r="AD37" s="18"/>
      <c r="AE37" s="189"/>
    </row>
    <row r="38" spans="1:31" ht="16.2" customHeight="1">
      <c r="C38" s="489"/>
      <c r="D38" s="298"/>
      <c r="E38" s="217"/>
      <c r="F38" s="224"/>
      <c r="G38" s="224"/>
      <c r="H38" s="224"/>
      <c r="I38" s="489"/>
      <c r="J38" s="298"/>
      <c r="K38" s="224"/>
      <c r="L38" s="224"/>
      <c r="M38" s="224"/>
      <c r="N38" s="224"/>
      <c r="O38" s="489"/>
      <c r="P38" s="489"/>
      <c r="Q38" s="224"/>
      <c r="R38" s="224"/>
      <c r="S38" s="224"/>
      <c r="T38" s="224"/>
      <c r="U38" s="489"/>
      <c r="V38" s="489"/>
      <c r="W38" s="224"/>
      <c r="X38" s="224"/>
      <c r="Y38" s="224"/>
      <c r="Z38" s="224"/>
      <c r="AA38" s="489"/>
      <c r="AB38" s="489"/>
      <c r="AC38" s="224"/>
      <c r="AD38" s="224"/>
      <c r="AE38" s="489"/>
    </row>
    <row r="39" spans="1:31" ht="16.2" customHeight="1">
      <c r="C39" s="489"/>
      <c r="D39" s="298"/>
      <c r="E39" s="217"/>
      <c r="F39" s="224"/>
      <c r="G39" s="224"/>
      <c r="H39" s="224"/>
      <c r="I39" s="489"/>
      <c r="J39" s="298"/>
      <c r="K39" s="224"/>
      <c r="L39" s="224"/>
      <c r="M39" s="224"/>
      <c r="N39" s="224"/>
      <c r="O39" s="489"/>
      <c r="P39" s="489"/>
      <c r="Q39" s="224"/>
      <c r="R39" s="224"/>
      <c r="S39" s="224"/>
      <c r="T39" s="224"/>
      <c r="U39" s="489"/>
      <c r="V39" s="489"/>
      <c r="W39" s="224"/>
      <c r="X39" s="224"/>
      <c r="Y39" s="224"/>
      <c r="Z39" s="224"/>
      <c r="AA39" s="489"/>
      <c r="AB39" s="489"/>
      <c r="AC39" s="224"/>
      <c r="AD39" s="224"/>
      <c r="AE39" s="489"/>
    </row>
    <row r="40" spans="1:31" ht="16.2" customHeight="1">
      <c r="C40" s="489"/>
      <c r="D40" s="298"/>
      <c r="E40" s="217"/>
      <c r="F40" s="224"/>
      <c r="G40" s="224"/>
      <c r="H40" s="224"/>
      <c r="I40" s="489"/>
      <c r="J40" s="298"/>
      <c r="K40" s="224"/>
      <c r="L40" s="224"/>
      <c r="M40" s="224"/>
      <c r="N40" s="224"/>
      <c r="O40" s="489"/>
      <c r="P40" s="489"/>
      <c r="Q40" s="224"/>
      <c r="R40" s="224"/>
      <c r="S40" s="224"/>
      <c r="T40" s="224"/>
      <c r="U40" s="489"/>
      <c r="V40" s="489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1:31" ht="16.2" customHeight="1">
      <c r="C41" s="489"/>
      <c r="D41" s="298"/>
      <c r="E41" s="217"/>
      <c r="F41" s="224"/>
      <c r="G41" s="224"/>
      <c r="H41" s="224"/>
      <c r="I41" s="489"/>
      <c r="J41" s="298"/>
      <c r="K41" s="224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1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298"/>
      <c r="E103" s="217"/>
      <c r="F103" s="224"/>
      <c r="G103" s="224"/>
      <c r="H103" s="224"/>
      <c r="I103" s="489"/>
      <c r="J103" s="298"/>
      <c r="K103" s="224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298"/>
      <c r="E104" s="217"/>
      <c r="F104" s="224"/>
      <c r="G104" s="224"/>
      <c r="H104" s="224"/>
      <c r="I104" s="489"/>
      <c r="J104" s="298"/>
      <c r="K104" s="224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298"/>
      <c r="E105" s="217"/>
      <c r="F105" s="224"/>
      <c r="G105" s="224"/>
      <c r="H105" s="224"/>
      <c r="I105" s="489"/>
      <c r="J105" s="298"/>
      <c r="K105" s="224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298"/>
      <c r="E106" s="217"/>
      <c r="F106" s="224"/>
      <c r="G106" s="224"/>
      <c r="H106" s="224"/>
      <c r="I106" s="489"/>
      <c r="J106" s="298"/>
      <c r="K106" s="224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298"/>
      <c r="E107" s="217"/>
      <c r="F107" s="224"/>
      <c r="G107" s="224"/>
      <c r="H107" s="224"/>
      <c r="I107" s="489"/>
      <c r="J107" s="298"/>
      <c r="K107" s="224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298"/>
      <c r="E108" s="217"/>
      <c r="F108" s="224"/>
      <c r="G108" s="224"/>
      <c r="H108" s="224"/>
      <c r="I108" s="489"/>
      <c r="J108" s="298"/>
      <c r="K108" s="224"/>
      <c r="L108" s="224"/>
      <c r="M108" s="224"/>
      <c r="N108" s="224"/>
      <c r="O108" s="489"/>
      <c r="P108" s="489"/>
      <c r="Q108" s="224"/>
      <c r="R108" s="224"/>
      <c r="S108" s="224"/>
      <c r="T108" s="224"/>
      <c r="U108" s="489"/>
      <c r="V108" s="489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C109" s="489"/>
      <c r="D109" s="298"/>
      <c r="E109" s="217"/>
      <c r="F109" s="224"/>
      <c r="G109" s="224"/>
      <c r="H109" s="224"/>
      <c r="I109" s="489"/>
      <c r="J109" s="298"/>
      <c r="K109" s="224"/>
      <c r="L109" s="224"/>
      <c r="M109" s="224"/>
      <c r="N109" s="224"/>
      <c r="O109" s="489"/>
      <c r="P109" s="489"/>
      <c r="Q109" s="224"/>
      <c r="R109" s="224"/>
      <c r="S109" s="224"/>
      <c r="T109" s="224"/>
      <c r="U109" s="489"/>
      <c r="V109" s="489"/>
      <c r="W109" s="224"/>
      <c r="X109" s="224"/>
      <c r="Y109" s="224"/>
      <c r="Z109" s="224"/>
      <c r="AA109" s="489"/>
      <c r="AB109" s="489"/>
      <c r="AC109" s="224"/>
      <c r="AD109" s="224"/>
      <c r="AE109" s="489"/>
    </row>
    <row r="110" spans="3:31" ht="16.2" customHeight="1">
      <c r="C110" s="489"/>
      <c r="D110" s="298"/>
      <c r="E110" s="217"/>
      <c r="F110" s="224"/>
      <c r="G110" s="224"/>
      <c r="H110" s="224"/>
      <c r="I110" s="489"/>
      <c r="J110" s="298"/>
      <c r="K110" s="224"/>
      <c r="L110" s="224"/>
      <c r="M110" s="224"/>
      <c r="N110" s="224"/>
      <c r="O110" s="489"/>
      <c r="P110" s="489"/>
      <c r="Q110" s="224"/>
      <c r="R110" s="224"/>
      <c r="S110" s="224"/>
      <c r="T110" s="224"/>
      <c r="U110" s="489"/>
      <c r="V110" s="489"/>
      <c r="W110" s="224"/>
      <c r="X110" s="224"/>
      <c r="Y110" s="224"/>
      <c r="Z110" s="224"/>
      <c r="AA110" s="489"/>
      <c r="AB110" s="489"/>
      <c r="AC110" s="224"/>
      <c r="AD110" s="224"/>
      <c r="AE110" s="489"/>
    </row>
    <row r="111" spans="3:31" ht="16.2" customHeight="1">
      <c r="C111" s="489"/>
      <c r="D111" s="298"/>
      <c r="E111" s="217"/>
      <c r="F111" s="224"/>
      <c r="G111" s="224"/>
      <c r="H111" s="224"/>
      <c r="I111" s="489"/>
      <c r="J111" s="298"/>
      <c r="K111" s="224"/>
      <c r="L111" s="224"/>
      <c r="M111" s="224"/>
      <c r="N111" s="224"/>
      <c r="O111" s="489"/>
      <c r="P111" s="489"/>
      <c r="Q111" s="224"/>
      <c r="R111" s="224"/>
      <c r="S111" s="224"/>
      <c r="T111" s="224"/>
      <c r="U111" s="489"/>
      <c r="V111" s="489"/>
      <c r="W111" s="224"/>
      <c r="X111" s="224"/>
      <c r="Y111" s="224"/>
      <c r="Z111" s="224"/>
      <c r="AA111" s="489"/>
      <c r="AB111" s="489"/>
      <c r="AC111" s="224"/>
      <c r="AD111" s="224"/>
      <c r="AE111" s="489"/>
    </row>
    <row r="112" spans="3:31" ht="16.2" customHeight="1">
      <c r="C112" s="489"/>
      <c r="D112" s="298"/>
      <c r="E112" s="217"/>
      <c r="F112" s="224"/>
      <c r="G112" s="224"/>
      <c r="H112" s="224"/>
      <c r="I112" s="489"/>
      <c r="J112" s="298"/>
      <c r="K112" s="224"/>
      <c r="L112" s="224"/>
      <c r="M112" s="224"/>
      <c r="N112" s="224"/>
      <c r="O112" s="489"/>
      <c r="P112" s="489"/>
      <c r="Q112" s="224"/>
      <c r="R112" s="224"/>
      <c r="S112" s="224"/>
      <c r="T112" s="224"/>
      <c r="U112" s="489"/>
      <c r="V112" s="489"/>
      <c r="W112" s="224"/>
      <c r="X112" s="224"/>
      <c r="Y112" s="224"/>
      <c r="Z112" s="224"/>
      <c r="AA112" s="489"/>
      <c r="AB112" s="489"/>
      <c r="AC112" s="224"/>
      <c r="AD112" s="224"/>
      <c r="AE112" s="489"/>
    </row>
    <row r="113" spans="3:31" ht="16.2" customHeight="1">
      <c r="C113" s="489"/>
      <c r="D113" s="298"/>
      <c r="E113" s="217"/>
      <c r="F113" s="224"/>
      <c r="G113" s="224"/>
      <c r="H113" s="224"/>
      <c r="I113" s="489"/>
      <c r="J113" s="298"/>
      <c r="K113" s="224"/>
      <c r="L113" s="224"/>
      <c r="M113" s="224"/>
      <c r="N113" s="224"/>
      <c r="O113" s="489"/>
      <c r="P113" s="489"/>
      <c r="Q113" s="224"/>
      <c r="R113" s="224"/>
      <c r="S113" s="224"/>
      <c r="T113" s="224"/>
      <c r="U113" s="489"/>
      <c r="V113" s="489"/>
      <c r="W113" s="224"/>
      <c r="X113" s="224"/>
      <c r="Y113" s="224"/>
      <c r="Z113" s="224"/>
      <c r="AA113" s="489"/>
      <c r="AB113" s="489"/>
      <c r="AC113" s="224"/>
      <c r="AD113" s="224"/>
      <c r="AE113" s="489"/>
    </row>
    <row r="114" spans="3:31" ht="16.2" customHeight="1">
      <c r="D114" s="1"/>
      <c r="J114" s="1"/>
    </row>
    <row r="115" spans="3:31" ht="16.2" customHeight="1">
      <c r="D115" s="1"/>
      <c r="J115" s="1"/>
    </row>
    <row r="116" spans="3:31" ht="16.2" customHeight="1">
      <c r="D116" s="1"/>
      <c r="J116" s="1"/>
    </row>
    <row r="117" spans="3:31" ht="16.2" customHeight="1">
      <c r="D117" s="1"/>
      <c r="J117" s="1"/>
    </row>
    <row r="118" spans="3:31" ht="16.2" customHeight="1">
      <c r="D118" s="1"/>
      <c r="J118" s="1"/>
    </row>
    <row r="119" spans="3:31" ht="16.2" customHeight="1">
      <c r="D119" s="1"/>
      <c r="J119" s="1"/>
    </row>
    <row r="120" spans="3:31" ht="16.2" customHeight="1">
      <c r="D120" s="1"/>
      <c r="J120" s="1"/>
    </row>
    <row r="121" spans="3:31" ht="16.2" customHeight="1">
      <c r="D121" s="1"/>
      <c r="J121" s="1"/>
    </row>
    <row r="122" spans="3:31" ht="16.2" customHeight="1">
      <c r="D122" s="1"/>
      <c r="J122" s="1"/>
    </row>
    <row r="123" spans="3:31" ht="16.2" customHeight="1">
      <c r="D123" s="1"/>
      <c r="J123" s="1"/>
    </row>
    <row r="124" spans="3:31" ht="16.2" customHeight="1">
      <c r="D124" s="1"/>
      <c r="J124" s="1"/>
    </row>
    <row r="125" spans="3:31" ht="16.2" customHeight="1">
      <c r="D125" s="1"/>
      <c r="J125" s="1"/>
    </row>
    <row r="126" spans="3:31" ht="16.2" customHeight="1">
      <c r="D126" s="1"/>
      <c r="J126" s="1"/>
    </row>
    <row r="127" spans="3:31" ht="16.2" customHeight="1">
      <c r="D127" s="1"/>
      <c r="J127" s="1"/>
    </row>
    <row r="128" spans="3:31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  <row r="520" spans="4:10" ht="16.2" customHeight="1">
      <c r="D520" s="1"/>
      <c r="J520" s="1"/>
    </row>
    <row r="521" spans="4:10" ht="16.2" customHeight="1">
      <c r="D521" s="1"/>
      <c r="J521" s="1"/>
    </row>
    <row r="522" spans="4:10" ht="16.2" customHeight="1">
      <c r="D522" s="1"/>
      <c r="J522" s="1"/>
    </row>
    <row r="523" spans="4:10" ht="16.2" customHeight="1">
      <c r="D523" s="1"/>
      <c r="J523" s="1"/>
    </row>
    <row r="524" spans="4:10" ht="16.2" customHeight="1">
      <c r="D524" s="1"/>
      <c r="J524" s="1"/>
    </row>
  </sheetData>
  <sheetProtection formatCells="0"/>
  <mergeCells count="14">
    <mergeCell ref="C2:F3"/>
    <mergeCell ref="D5:L6"/>
    <mergeCell ref="W5:X5"/>
    <mergeCell ref="P5:V6"/>
    <mergeCell ref="AA5:AC6"/>
    <mergeCell ref="D7:L8"/>
    <mergeCell ref="C10:F10"/>
    <mergeCell ref="I10:L10"/>
    <mergeCell ref="AA10:AD10"/>
    <mergeCell ref="W7:X7"/>
    <mergeCell ref="O10:R10"/>
    <mergeCell ref="U10:X10"/>
    <mergeCell ref="P7:Q8"/>
    <mergeCell ref="AA7:AE8"/>
  </mergeCells>
  <phoneticPr fontId="2"/>
  <conditionalFormatting sqref="F13:F19 L13:L20 R13:R21 X13:X25">
    <cfRule type="cellIs" dxfId="28" priority="2" operator="greaterThan">
      <formula>D13</formula>
    </cfRule>
  </conditionalFormatting>
  <hyperlinks>
    <hyperlink ref="C2:F3" location="提案表紙!A1" display="大阪府折込資料表" xr:uid="{00000000-0004-0000-12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 xml:space="preserve">&amp;L枚方市&amp;RP-15/34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8">
    <tabColor rgb="FFB6D2F5"/>
    <pageSetUpPr fitToPage="1"/>
  </sheetPr>
  <dimension ref="A1:AE520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2.8867187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563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564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565</v>
      </c>
      <c r="P7" s="827">
        <f>提案表紙!G9</f>
        <v>0</v>
      </c>
      <c r="Q7" s="828"/>
      <c r="R7" s="7" t="s">
        <v>676</v>
      </c>
      <c r="S7"/>
      <c r="T7"/>
      <c r="U7" s="410">
        <f>寝屋川市折込部数+門真市折込部数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1419</v>
      </c>
      <c r="C12" s="46" t="s">
        <v>566</v>
      </c>
      <c r="D12" s="12"/>
      <c r="E12" s="32"/>
      <c r="F12" s="223"/>
      <c r="G12" s="51">
        <v>2</v>
      </c>
      <c r="H12" s="488" t="s">
        <v>1419</v>
      </c>
      <c r="I12" s="464"/>
      <c r="J12" s="211"/>
      <c r="K12" s="232"/>
      <c r="L12" s="223"/>
      <c r="M12" s="51">
        <v>2</v>
      </c>
      <c r="N12" s="488" t="s">
        <v>1419</v>
      </c>
      <c r="O12" s="464"/>
      <c r="P12" s="464"/>
      <c r="Q12" s="232"/>
      <c r="R12" s="223"/>
      <c r="S12" s="51">
        <v>2</v>
      </c>
      <c r="T12" s="488" t="s">
        <v>1419</v>
      </c>
      <c r="U12" s="464"/>
      <c r="V12" s="464"/>
      <c r="W12" s="232"/>
      <c r="X12" s="223"/>
      <c r="Y12" s="51">
        <v>2</v>
      </c>
      <c r="Z12" s="488" t="s">
        <v>1419</v>
      </c>
      <c r="AA12" s="464"/>
      <c r="AB12" s="464"/>
      <c r="AC12" s="35"/>
      <c r="AD12" s="16"/>
      <c r="AE12" s="11"/>
    </row>
    <row r="13" spans="1:31" ht="16.2" customHeight="1">
      <c r="A13" s="51">
        <v>3</v>
      </c>
      <c r="B13" s="51">
        <v>72251</v>
      </c>
      <c r="C13" s="441" t="s">
        <v>584</v>
      </c>
      <c r="D13" s="267">
        <v>2300</v>
      </c>
      <c r="E13" s="142"/>
      <c r="F13" s="404"/>
      <c r="G13" s="51">
        <v>3</v>
      </c>
      <c r="H13" s="51">
        <v>73241</v>
      </c>
      <c r="I13" s="441" t="s">
        <v>584</v>
      </c>
      <c r="J13" s="148">
        <v>2300</v>
      </c>
      <c r="K13" s="142"/>
      <c r="L13" s="404"/>
      <c r="M13" s="51">
        <v>3</v>
      </c>
      <c r="N13" s="51">
        <v>75253</v>
      </c>
      <c r="O13" s="691" t="s">
        <v>589</v>
      </c>
      <c r="P13" s="352">
        <v>800</v>
      </c>
      <c r="Q13" s="142"/>
      <c r="R13" s="404"/>
      <c r="S13" s="51">
        <v>3</v>
      </c>
      <c r="T13" s="51">
        <v>74309</v>
      </c>
      <c r="U13" s="441" t="s">
        <v>587</v>
      </c>
      <c r="V13" s="148">
        <v>3200</v>
      </c>
      <c r="W13" s="142"/>
      <c r="X13" s="404"/>
      <c r="Y13" s="51">
        <v>3</v>
      </c>
      <c r="Z13" s="51"/>
      <c r="AA13" s="688"/>
      <c r="AB13" s="511"/>
      <c r="AC13" s="170"/>
      <c r="AD13" s="171"/>
      <c r="AE13" s="513"/>
    </row>
    <row r="14" spans="1:31" ht="16.2" customHeight="1">
      <c r="A14" s="51">
        <v>3</v>
      </c>
      <c r="B14" s="51">
        <v>72253</v>
      </c>
      <c r="C14" s="691" t="s">
        <v>1469</v>
      </c>
      <c r="D14" s="352">
        <v>1150</v>
      </c>
      <c r="E14" s="165"/>
      <c r="F14" s="405"/>
      <c r="G14" s="51">
        <v>3</v>
      </c>
      <c r="H14" s="51">
        <v>73243</v>
      </c>
      <c r="I14" s="691" t="s">
        <v>590</v>
      </c>
      <c r="J14" s="352">
        <v>1200</v>
      </c>
      <c r="K14" s="165"/>
      <c r="L14" s="405"/>
      <c r="M14" s="51">
        <v>3</v>
      </c>
      <c r="N14" s="51">
        <v>75255</v>
      </c>
      <c r="O14" s="691" t="s">
        <v>590</v>
      </c>
      <c r="P14" s="352">
        <v>400</v>
      </c>
      <c r="Q14" s="165"/>
      <c r="R14" s="405"/>
      <c r="S14" s="51">
        <v>3</v>
      </c>
      <c r="T14" s="51">
        <v>74311</v>
      </c>
      <c r="U14" s="691" t="s">
        <v>589</v>
      </c>
      <c r="V14" s="352">
        <v>2500</v>
      </c>
      <c r="W14" s="142"/>
      <c r="X14" s="405"/>
      <c r="Y14" s="51">
        <v>3</v>
      </c>
      <c r="Z14" s="51"/>
      <c r="AA14" s="667"/>
      <c r="AB14" s="543"/>
      <c r="AC14" s="172"/>
      <c r="AD14" s="173"/>
      <c r="AE14" s="516"/>
    </row>
    <row r="15" spans="1:31" ht="16.2" customHeight="1">
      <c r="A15" s="51">
        <v>3</v>
      </c>
      <c r="B15" s="51">
        <v>72255</v>
      </c>
      <c r="C15" s="691" t="s">
        <v>585</v>
      </c>
      <c r="D15" s="352">
        <v>1350</v>
      </c>
      <c r="E15" s="165"/>
      <c r="F15" s="405"/>
      <c r="G15" s="51">
        <v>3</v>
      </c>
      <c r="H15" s="51">
        <v>73245</v>
      </c>
      <c r="I15" s="691" t="s">
        <v>586</v>
      </c>
      <c r="J15" s="352">
        <v>2300</v>
      </c>
      <c r="K15" s="165"/>
      <c r="L15" s="405"/>
      <c r="M15" s="51">
        <v>3</v>
      </c>
      <c r="N15" s="51">
        <v>75257</v>
      </c>
      <c r="O15" s="691" t="s">
        <v>591</v>
      </c>
      <c r="P15" s="352">
        <v>450</v>
      </c>
      <c r="Q15" s="165"/>
      <c r="R15" s="405"/>
      <c r="S15" s="51">
        <v>3</v>
      </c>
      <c r="T15" s="51">
        <v>74313</v>
      </c>
      <c r="U15" s="691" t="s">
        <v>588</v>
      </c>
      <c r="V15" s="352">
        <v>750</v>
      </c>
      <c r="W15" s="142"/>
      <c r="X15" s="405"/>
      <c r="Y15" s="51">
        <v>3</v>
      </c>
      <c r="Z15" s="51"/>
      <c r="AA15" s="667"/>
      <c r="AB15" s="543"/>
      <c r="AC15" s="172"/>
      <c r="AD15" s="173"/>
      <c r="AE15" s="516"/>
    </row>
    <row r="16" spans="1:31" ht="16.2" customHeight="1">
      <c r="A16" s="51">
        <v>3</v>
      </c>
      <c r="B16" s="51">
        <v>72257</v>
      </c>
      <c r="C16" s="691" t="s">
        <v>586</v>
      </c>
      <c r="D16" s="352">
        <v>1700</v>
      </c>
      <c r="E16" s="165"/>
      <c r="F16" s="405"/>
      <c r="G16" s="51">
        <v>3</v>
      </c>
      <c r="H16" s="51">
        <v>73247</v>
      </c>
      <c r="I16" s="691" t="s">
        <v>587</v>
      </c>
      <c r="J16" s="352">
        <v>1400</v>
      </c>
      <c r="K16" s="165"/>
      <c r="L16" s="405"/>
      <c r="M16" s="51">
        <v>3</v>
      </c>
      <c r="N16" s="51">
        <v>75259</v>
      </c>
      <c r="O16" s="691" t="s">
        <v>583</v>
      </c>
      <c r="P16" s="352">
        <v>600</v>
      </c>
      <c r="Q16" s="165"/>
      <c r="R16" s="405"/>
      <c r="S16" s="51">
        <v>3</v>
      </c>
      <c r="T16" s="51">
        <v>74315</v>
      </c>
      <c r="U16" s="777" t="s">
        <v>1640</v>
      </c>
      <c r="V16" s="352">
        <v>3050</v>
      </c>
      <c r="W16" s="142"/>
      <c r="X16" s="405"/>
      <c r="Y16" s="51">
        <v>3</v>
      </c>
      <c r="Z16" s="51"/>
      <c r="AA16" s="667"/>
      <c r="AB16" s="543"/>
      <c r="AC16" s="172"/>
      <c r="AD16" s="173"/>
      <c r="AE16" s="516"/>
    </row>
    <row r="17" spans="1:31" ht="16.2" customHeight="1">
      <c r="A17" s="51">
        <v>3</v>
      </c>
      <c r="B17" s="51">
        <v>72259</v>
      </c>
      <c r="C17" s="691" t="s">
        <v>592</v>
      </c>
      <c r="D17" s="352">
        <v>1550</v>
      </c>
      <c r="E17" s="165"/>
      <c r="F17" s="405"/>
      <c r="G17" s="51">
        <v>3</v>
      </c>
      <c r="H17" s="51">
        <v>73249</v>
      </c>
      <c r="I17" s="691" t="s">
        <v>1101</v>
      </c>
      <c r="J17" s="352">
        <v>1250</v>
      </c>
      <c r="K17" s="165"/>
      <c r="L17" s="405"/>
      <c r="M17" s="51">
        <v>3</v>
      </c>
      <c r="N17" s="51">
        <v>75261</v>
      </c>
      <c r="O17" s="691" t="s">
        <v>1078</v>
      </c>
      <c r="P17" s="352">
        <v>1600</v>
      </c>
      <c r="Q17" s="165"/>
      <c r="R17" s="405"/>
      <c r="S17" s="51">
        <v>3</v>
      </c>
      <c r="T17" s="51">
        <v>74317</v>
      </c>
      <c r="U17" s="691" t="s">
        <v>592</v>
      </c>
      <c r="V17" s="446" t="s">
        <v>1566</v>
      </c>
      <c r="W17" s="142"/>
      <c r="X17" s="405"/>
      <c r="Y17" s="51">
        <v>3</v>
      </c>
      <c r="Z17" s="51"/>
      <c r="AA17" s="667"/>
      <c r="AB17" s="543"/>
      <c r="AC17" s="172"/>
      <c r="AD17" s="173"/>
      <c r="AE17" s="516"/>
    </row>
    <row r="18" spans="1:31" ht="16.2" customHeight="1">
      <c r="A18" s="51">
        <v>3</v>
      </c>
      <c r="B18" s="51"/>
      <c r="C18" s="691"/>
      <c r="D18" s="352"/>
      <c r="E18" s="165"/>
      <c r="F18" s="405"/>
      <c r="G18" s="51">
        <v>3</v>
      </c>
      <c r="H18" s="51"/>
      <c r="I18" s="691"/>
      <c r="J18" s="352"/>
      <c r="K18" s="165"/>
      <c r="L18" s="405"/>
      <c r="M18" s="51">
        <v>3</v>
      </c>
      <c r="N18" s="51">
        <v>75263</v>
      </c>
      <c r="O18" s="691" t="s">
        <v>1101</v>
      </c>
      <c r="P18" s="352">
        <v>3100</v>
      </c>
      <c r="Q18" s="165"/>
      <c r="R18" s="405"/>
      <c r="S18" s="51">
        <v>3</v>
      </c>
      <c r="T18" s="51">
        <v>74319</v>
      </c>
      <c r="U18" s="691" t="s">
        <v>586</v>
      </c>
      <c r="V18" s="352">
        <v>2550</v>
      </c>
      <c r="W18" s="142"/>
      <c r="X18" s="405"/>
      <c r="Y18" s="51">
        <v>3</v>
      </c>
      <c r="Z18" s="51"/>
      <c r="AA18" s="667"/>
      <c r="AB18" s="543"/>
      <c r="AC18" s="172"/>
      <c r="AD18" s="173"/>
      <c r="AE18" s="516"/>
    </row>
    <row r="19" spans="1:31" ht="16.2" customHeight="1">
      <c r="A19" s="51">
        <v>3</v>
      </c>
      <c r="B19" s="51"/>
      <c r="C19" s="692"/>
      <c r="D19" s="495"/>
      <c r="E19" s="165"/>
      <c r="F19" s="405"/>
      <c r="G19" s="51">
        <v>3</v>
      </c>
      <c r="H19" s="51"/>
      <c r="I19" s="691"/>
      <c r="J19" s="352"/>
      <c r="K19" s="165"/>
      <c r="L19" s="405"/>
      <c r="M19" s="51">
        <v>3</v>
      </c>
      <c r="N19" s="51"/>
      <c r="O19" s="691"/>
      <c r="P19" s="352"/>
      <c r="Q19" s="165"/>
      <c r="R19" s="405"/>
      <c r="S19" s="51">
        <v>3</v>
      </c>
      <c r="T19" s="51">
        <v>74321</v>
      </c>
      <c r="U19" s="691" t="s">
        <v>590</v>
      </c>
      <c r="V19" s="143">
        <v>2050</v>
      </c>
      <c r="W19" s="142"/>
      <c r="X19" s="405"/>
      <c r="Y19" s="51">
        <v>3</v>
      </c>
      <c r="Z19" s="51"/>
      <c r="AA19" s="667"/>
      <c r="AB19" s="543"/>
      <c r="AC19" s="172"/>
      <c r="AD19" s="173"/>
      <c r="AE19" s="516"/>
    </row>
    <row r="20" spans="1:31" ht="16.2" customHeight="1">
      <c r="A20" s="51">
        <v>3</v>
      </c>
      <c r="B20" s="51"/>
      <c r="C20" s="692"/>
      <c r="D20" s="226"/>
      <c r="E20" s="156"/>
      <c r="F20" s="157"/>
      <c r="G20" s="51">
        <v>3</v>
      </c>
      <c r="H20" s="51"/>
      <c r="I20" s="692"/>
      <c r="J20" s="226"/>
      <c r="K20" s="156"/>
      <c r="L20" s="157"/>
      <c r="M20" s="51">
        <v>3</v>
      </c>
      <c r="N20" s="51"/>
      <c r="O20" s="692"/>
      <c r="P20" s="226"/>
      <c r="Q20" s="172"/>
      <c r="R20" s="157"/>
      <c r="S20" s="51">
        <v>3</v>
      </c>
      <c r="T20" s="51">
        <v>74323</v>
      </c>
      <c r="U20" s="691" t="s">
        <v>593</v>
      </c>
      <c r="V20" s="143">
        <v>950</v>
      </c>
      <c r="W20" s="142"/>
      <c r="X20" s="405"/>
      <c r="Y20" s="51">
        <v>3</v>
      </c>
      <c r="Z20" s="51"/>
      <c r="AA20" s="667"/>
      <c r="AB20" s="543"/>
      <c r="AC20" s="172"/>
      <c r="AD20" s="173"/>
      <c r="AE20" s="516"/>
    </row>
    <row r="21" spans="1:31" ht="16.2" customHeight="1">
      <c r="A21" s="51">
        <v>3</v>
      </c>
      <c r="B21" s="51"/>
      <c r="C21" s="692"/>
      <c r="D21" s="226"/>
      <c r="E21" s="156"/>
      <c r="F21" s="157"/>
      <c r="G21" s="51">
        <v>3</v>
      </c>
      <c r="H21" s="51"/>
      <c r="I21" s="692"/>
      <c r="J21" s="226"/>
      <c r="K21" s="156"/>
      <c r="L21" s="157"/>
      <c r="M21" s="51">
        <v>3</v>
      </c>
      <c r="N21" s="51"/>
      <c r="O21" s="692"/>
      <c r="P21" s="543"/>
      <c r="Q21" s="172"/>
      <c r="R21" s="260"/>
      <c r="S21" s="51">
        <v>3</v>
      </c>
      <c r="T21" s="51">
        <v>74325</v>
      </c>
      <c r="U21" s="691" t="s">
        <v>594</v>
      </c>
      <c r="V21" s="143">
        <v>550</v>
      </c>
      <c r="W21" s="142"/>
      <c r="X21" s="405"/>
      <c r="Y21" s="51">
        <v>3</v>
      </c>
      <c r="Z21" s="51"/>
      <c r="AA21" s="667"/>
      <c r="AB21" s="543"/>
      <c r="AC21" s="172"/>
      <c r="AD21" s="173"/>
      <c r="AE21" s="516"/>
    </row>
    <row r="22" spans="1:31" ht="16.2" customHeight="1">
      <c r="A22" s="51">
        <v>3</v>
      </c>
      <c r="B22" s="51"/>
      <c r="C22" s="692"/>
      <c r="D22" s="226"/>
      <c r="E22" s="156"/>
      <c r="F22" s="157"/>
      <c r="G22" s="51">
        <v>3</v>
      </c>
      <c r="H22" s="51"/>
      <c r="I22" s="692"/>
      <c r="J22" s="226"/>
      <c r="K22" s="156"/>
      <c r="L22" s="157"/>
      <c r="M22" s="51">
        <v>3</v>
      </c>
      <c r="N22" s="51"/>
      <c r="O22" s="692"/>
      <c r="P22" s="543"/>
      <c r="Q22" s="172"/>
      <c r="R22" s="260"/>
      <c r="S22" s="51">
        <v>3</v>
      </c>
      <c r="T22" s="51">
        <v>74327</v>
      </c>
      <c r="U22" s="386" t="s">
        <v>1546</v>
      </c>
      <c r="V22" s="446" t="s">
        <v>1566</v>
      </c>
      <c r="W22" s="142"/>
      <c r="X22" s="405"/>
      <c r="Y22" s="51">
        <v>3</v>
      </c>
      <c r="Z22" s="51"/>
      <c r="AA22" s="667"/>
      <c r="AB22" s="543"/>
      <c r="AC22" s="172"/>
      <c r="AD22" s="173"/>
      <c r="AE22" s="516"/>
    </row>
    <row r="23" spans="1:31" ht="16.2" customHeight="1" thickBot="1">
      <c r="A23" s="51">
        <v>3</v>
      </c>
      <c r="B23" s="51"/>
      <c r="C23" s="520"/>
      <c r="D23" s="208"/>
      <c r="E23" s="167"/>
      <c r="F23" s="133"/>
      <c r="G23" s="51">
        <v>3</v>
      </c>
      <c r="H23" s="51"/>
      <c r="I23" s="699"/>
      <c r="J23" s="208"/>
      <c r="K23" s="169"/>
      <c r="L23" s="133"/>
      <c r="M23" s="51">
        <v>3</v>
      </c>
      <c r="N23" s="51"/>
      <c r="O23" s="699"/>
      <c r="P23" s="519"/>
      <c r="Q23" s="169"/>
      <c r="R23" s="164"/>
      <c r="S23" s="51">
        <v>3</v>
      </c>
      <c r="T23" s="51"/>
      <c r="U23" s="520"/>
      <c r="V23" s="208"/>
      <c r="W23" s="138"/>
      <c r="X23" s="133"/>
      <c r="Y23" s="51">
        <v>3</v>
      </c>
      <c r="Z23" s="51"/>
      <c r="AA23" s="699"/>
      <c r="AB23" s="519"/>
      <c r="AC23" s="169"/>
      <c r="AD23" s="175"/>
      <c r="AE23" s="516"/>
    </row>
    <row r="24" spans="1:31" ht="16.2" customHeight="1" thickTop="1">
      <c r="A24" s="51">
        <v>4</v>
      </c>
      <c r="B24" s="51"/>
      <c r="C24" s="523" t="s">
        <v>692</v>
      </c>
      <c r="D24" s="27">
        <f>SUM(D13:D23)</f>
        <v>8050</v>
      </c>
      <c r="E24" s="34"/>
      <c r="F24" s="75">
        <f>SUM(F13:F23)</f>
        <v>0</v>
      </c>
      <c r="G24" s="51">
        <v>4</v>
      </c>
      <c r="H24" s="51"/>
      <c r="I24" s="523" t="s">
        <v>692</v>
      </c>
      <c r="J24" s="27">
        <f>SUM(J13:J23)</f>
        <v>8450</v>
      </c>
      <c r="K24" s="37"/>
      <c r="L24" s="75">
        <f>SUM(L13:L23)</f>
        <v>0</v>
      </c>
      <c r="M24" s="51">
        <v>4</v>
      </c>
      <c r="N24" s="51"/>
      <c r="O24" s="523" t="s">
        <v>692</v>
      </c>
      <c r="P24" s="27">
        <f>SUM(P13:P23)</f>
        <v>6950</v>
      </c>
      <c r="Q24" s="37"/>
      <c r="R24" s="75">
        <f>SUM(R13:R23)</f>
        <v>0</v>
      </c>
      <c r="S24" s="51">
        <v>4</v>
      </c>
      <c r="T24" s="51"/>
      <c r="U24" s="523" t="s">
        <v>692</v>
      </c>
      <c r="V24" s="27">
        <f>SUM(V13:V23)</f>
        <v>15600</v>
      </c>
      <c r="W24" s="28"/>
      <c r="X24" s="75">
        <f>SUM(X13:X23)</f>
        <v>0</v>
      </c>
      <c r="Y24" s="51">
        <v>4</v>
      </c>
      <c r="Z24" s="51"/>
      <c r="AA24" s="523" t="s">
        <v>692</v>
      </c>
      <c r="AB24" s="283">
        <f>SUM(AB13:AB23)</f>
        <v>0</v>
      </c>
      <c r="AC24" s="282"/>
      <c r="AD24" s="75"/>
      <c r="AE24" s="524">
        <f>D24+J24+P24+V24+AB24</f>
        <v>39050</v>
      </c>
    </row>
    <row r="25" spans="1:31" ht="16.2" customHeight="1">
      <c r="A25" s="51"/>
      <c r="B25" s="51"/>
      <c r="D25" s="1"/>
      <c r="G25" s="51"/>
      <c r="H25" s="51"/>
      <c r="J25" s="1"/>
      <c r="L25" s="233"/>
      <c r="M25" s="51"/>
      <c r="N25" s="51"/>
      <c r="O25" s="489"/>
      <c r="P25" s="489"/>
      <c r="Q25" s="224"/>
      <c r="R25" s="233"/>
      <c r="S25" s="51"/>
      <c r="T25" s="51"/>
      <c r="U25" s="489"/>
      <c r="V25" s="489"/>
      <c r="W25" s="224"/>
      <c r="X25" s="224"/>
      <c r="Y25" s="51"/>
      <c r="Z25" s="51"/>
      <c r="AA25" s="489"/>
      <c r="AB25" s="489"/>
      <c r="AC25" s="224"/>
      <c r="AD25" s="527" t="s">
        <v>692</v>
      </c>
      <c r="AE25" s="93">
        <f>A寝屋川市折込部数+M寝屋川市折込部数+S寝屋川市折込部数+Y寝屋川市折込部数+AD24</f>
        <v>0</v>
      </c>
    </row>
    <row r="26" spans="1:31" ht="16.2" customHeight="1">
      <c r="A26" s="51">
        <v>2</v>
      </c>
      <c r="B26" s="488" t="s">
        <v>1420</v>
      </c>
      <c r="C26" s="46" t="s">
        <v>182</v>
      </c>
      <c r="D26"/>
      <c r="G26" s="51">
        <v>2</v>
      </c>
      <c r="H26" s="488" t="s">
        <v>1420</v>
      </c>
      <c r="J26"/>
      <c r="K26" s="15"/>
      <c r="M26" s="51">
        <v>2</v>
      </c>
      <c r="N26" s="488" t="s">
        <v>1420</v>
      </c>
      <c r="Q26" s="15"/>
      <c r="R26"/>
      <c r="S26" s="51">
        <v>2</v>
      </c>
      <c r="T26" s="488" t="s">
        <v>1420</v>
      </c>
      <c r="W26" s="15"/>
      <c r="X26"/>
      <c r="Y26" s="51">
        <v>2</v>
      </c>
      <c r="Z26" s="488" t="s">
        <v>1420</v>
      </c>
      <c r="AB26" s="15"/>
      <c r="AC26"/>
      <c r="AD26"/>
    </row>
    <row r="27" spans="1:31" ht="16.2" customHeight="1">
      <c r="A27" s="51">
        <v>3</v>
      </c>
      <c r="B27" s="51">
        <v>72263</v>
      </c>
      <c r="C27" s="441" t="s">
        <v>1381</v>
      </c>
      <c r="D27" s="267">
        <v>2350</v>
      </c>
      <c r="E27" s="155"/>
      <c r="F27" s="404"/>
      <c r="G27" s="51">
        <v>3</v>
      </c>
      <c r="H27" s="51">
        <v>73251</v>
      </c>
      <c r="I27" s="441" t="s">
        <v>183</v>
      </c>
      <c r="J27" s="148">
        <v>1150</v>
      </c>
      <c r="K27" s="155"/>
      <c r="L27" s="404"/>
      <c r="M27" s="51">
        <v>3</v>
      </c>
      <c r="N27" s="51">
        <v>75265</v>
      </c>
      <c r="O27" s="690" t="s">
        <v>183</v>
      </c>
      <c r="P27" s="148">
        <v>400</v>
      </c>
      <c r="Q27" s="130"/>
      <c r="R27" s="404"/>
      <c r="S27" s="51">
        <v>3</v>
      </c>
      <c r="T27" s="51">
        <v>74329</v>
      </c>
      <c r="U27" s="441" t="s">
        <v>186</v>
      </c>
      <c r="V27" s="148">
        <v>2200</v>
      </c>
      <c r="W27" s="155"/>
      <c r="X27" s="404"/>
      <c r="Y27" s="51">
        <v>3</v>
      </c>
      <c r="Z27" s="51"/>
      <c r="AA27" s="688"/>
      <c r="AB27" s="511"/>
      <c r="AC27" s="130"/>
      <c r="AD27" s="541"/>
      <c r="AE27" s="513"/>
    </row>
    <row r="28" spans="1:31" ht="16.2" customHeight="1">
      <c r="A28" s="51">
        <v>3</v>
      </c>
      <c r="B28" s="51"/>
      <c r="C28" s="386"/>
      <c r="D28" s="143"/>
      <c r="E28" s="142"/>
      <c r="F28" s="405"/>
      <c r="G28" s="51">
        <v>3</v>
      </c>
      <c r="H28" s="51">
        <v>73253</v>
      </c>
      <c r="I28" s="386" t="s">
        <v>186</v>
      </c>
      <c r="J28" s="143">
        <v>900</v>
      </c>
      <c r="K28" s="142"/>
      <c r="L28" s="405"/>
      <c r="M28" s="51">
        <v>3</v>
      </c>
      <c r="N28" s="51">
        <v>75267</v>
      </c>
      <c r="O28" s="386" t="s">
        <v>186</v>
      </c>
      <c r="P28" s="143">
        <v>1950</v>
      </c>
      <c r="Q28" s="168"/>
      <c r="R28" s="405"/>
      <c r="S28" s="51">
        <v>3</v>
      </c>
      <c r="T28" s="51">
        <v>74331</v>
      </c>
      <c r="U28" s="386" t="s">
        <v>184</v>
      </c>
      <c r="V28" s="143">
        <v>2800</v>
      </c>
      <c r="W28" s="168"/>
      <c r="X28" s="405"/>
      <c r="Y28" s="51">
        <v>3</v>
      </c>
      <c r="Z28" s="51"/>
      <c r="AA28" s="561"/>
      <c r="AB28" s="515"/>
      <c r="AC28" s="168"/>
      <c r="AD28" s="550"/>
      <c r="AE28" s="516"/>
    </row>
    <row r="29" spans="1:31" ht="16.2" customHeight="1">
      <c r="A29" s="51">
        <v>3</v>
      </c>
      <c r="B29" s="51"/>
      <c r="C29" s="386"/>
      <c r="D29" s="143"/>
      <c r="E29" s="142"/>
      <c r="F29" s="405"/>
      <c r="G29" s="51">
        <v>3</v>
      </c>
      <c r="H29" s="51">
        <v>73255</v>
      </c>
      <c r="I29" s="386" t="s">
        <v>683</v>
      </c>
      <c r="J29" s="143">
        <v>1250</v>
      </c>
      <c r="K29" s="142"/>
      <c r="L29" s="405"/>
      <c r="M29" s="51">
        <v>3</v>
      </c>
      <c r="N29" s="51">
        <v>75271</v>
      </c>
      <c r="O29" s="386" t="s">
        <v>187</v>
      </c>
      <c r="P29" s="143">
        <v>450</v>
      </c>
      <c r="Q29" s="168"/>
      <c r="R29" s="405"/>
      <c r="S29" s="51">
        <v>3</v>
      </c>
      <c r="T29" s="51">
        <v>74333</v>
      </c>
      <c r="U29" s="386" t="s">
        <v>187</v>
      </c>
      <c r="V29" s="143">
        <v>1450</v>
      </c>
      <c r="W29" s="168"/>
      <c r="X29" s="405"/>
      <c r="Y29" s="51">
        <v>3</v>
      </c>
      <c r="Z29" s="51"/>
      <c r="AA29" s="561"/>
      <c r="AB29" s="515"/>
      <c r="AC29" s="168"/>
      <c r="AD29" s="550"/>
      <c r="AE29" s="516"/>
    </row>
    <row r="30" spans="1:31" ht="16.2" customHeight="1">
      <c r="A30" s="51">
        <v>3</v>
      </c>
      <c r="B30" s="51"/>
      <c r="C30" s="386"/>
      <c r="D30" s="143"/>
      <c r="E30" s="142"/>
      <c r="F30" s="405"/>
      <c r="G30" s="51">
        <v>3</v>
      </c>
      <c r="H30" s="51"/>
      <c r="I30" s="512"/>
      <c r="J30" s="139"/>
      <c r="K30" s="168"/>
      <c r="L30" s="132"/>
      <c r="M30" s="51">
        <v>3</v>
      </c>
      <c r="N30" s="51">
        <v>75273</v>
      </c>
      <c r="O30" s="386" t="s">
        <v>188</v>
      </c>
      <c r="P30" s="143">
        <v>300</v>
      </c>
      <c r="Q30" s="168"/>
      <c r="R30" s="405"/>
      <c r="S30" s="51">
        <v>3</v>
      </c>
      <c r="T30" s="51">
        <v>74335</v>
      </c>
      <c r="U30" s="386" t="s">
        <v>185</v>
      </c>
      <c r="V30" s="446" t="s">
        <v>1566</v>
      </c>
      <c r="W30" s="168"/>
      <c r="X30" s="405"/>
      <c r="Y30" s="51">
        <v>3</v>
      </c>
      <c r="Z30" s="51"/>
      <c r="AA30" s="561"/>
      <c r="AB30" s="515"/>
      <c r="AC30" s="168"/>
      <c r="AD30" s="550"/>
      <c r="AE30" s="516"/>
    </row>
    <row r="31" spans="1:31" ht="16.2" customHeight="1">
      <c r="A31" s="51">
        <v>3</v>
      </c>
      <c r="B31" s="51"/>
      <c r="C31" s="512"/>
      <c r="D31" s="139"/>
      <c r="E31" s="142"/>
      <c r="F31" s="132"/>
      <c r="G31" s="51">
        <v>3</v>
      </c>
      <c r="H31" s="51"/>
      <c r="I31" s="512"/>
      <c r="J31" s="139"/>
      <c r="K31" s="168"/>
      <c r="L31" s="132"/>
      <c r="M31" s="51">
        <v>3</v>
      </c>
      <c r="N31" s="51"/>
      <c r="O31" s="386"/>
      <c r="P31" s="143"/>
      <c r="Q31" s="168"/>
      <c r="R31" s="405"/>
      <c r="S31" s="51">
        <v>3</v>
      </c>
      <c r="T31" s="51">
        <v>74337</v>
      </c>
      <c r="U31" s="386" t="s">
        <v>183</v>
      </c>
      <c r="V31" s="143">
        <v>2800</v>
      </c>
      <c r="W31" s="168"/>
      <c r="X31" s="405"/>
      <c r="Y31" s="51">
        <v>3</v>
      </c>
      <c r="Z31" s="51"/>
      <c r="AA31" s="561"/>
      <c r="AB31" s="515"/>
      <c r="AC31" s="168"/>
      <c r="AD31" s="550"/>
      <c r="AE31" s="516"/>
    </row>
    <row r="32" spans="1:31" ht="16.2" customHeight="1">
      <c r="A32" s="51">
        <v>3</v>
      </c>
      <c r="B32" s="51"/>
      <c r="C32" s="512"/>
      <c r="D32" s="139"/>
      <c r="E32" s="142"/>
      <c r="F32" s="132"/>
      <c r="G32" s="51">
        <v>3</v>
      </c>
      <c r="H32" s="51"/>
      <c r="I32" s="512"/>
      <c r="J32" s="139"/>
      <c r="K32" s="168"/>
      <c r="L32" s="132"/>
      <c r="M32" s="51">
        <v>3</v>
      </c>
      <c r="N32" s="51"/>
      <c r="O32" s="386"/>
      <c r="P32" s="446"/>
      <c r="Q32" s="168"/>
      <c r="R32" s="405"/>
      <c r="S32" s="51">
        <v>3</v>
      </c>
      <c r="T32" s="51">
        <v>74339</v>
      </c>
      <c r="U32" s="386" t="s">
        <v>186</v>
      </c>
      <c r="V32" s="446" t="s">
        <v>1566</v>
      </c>
      <c r="W32" s="168"/>
      <c r="X32" s="405"/>
      <c r="Y32" s="51">
        <v>3</v>
      </c>
      <c r="Z32" s="51"/>
      <c r="AA32" s="561"/>
      <c r="AB32" s="515"/>
      <c r="AC32" s="168"/>
      <c r="AD32" s="550"/>
      <c r="AE32" s="516"/>
    </row>
    <row r="33" spans="1:31" ht="16.2" customHeight="1">
      <c r="A33" s="51">
        <v>3</v>
      </c>
      <c r="B33" s="51"/>
      <c r="C33" s="520"/>
      <c r="D33" s="208"/>
      <c r="E33" s="138"/>
      <c r="F33" s="133"/>
      <c r="G33" s="51">
        <v>3</v>
      </c>
      <c r="H33" s="51"/>
      <c r="I33" s="520"/>
      <c r="J33" s="208"/>
      <c r="K33" s="169"/>
      <c r="L33" s="133"/>
      <c r="M33" s="51">
        <v>3</v>
      </c>
      <c r="N33" s="51"/>
      <c r="O33" s="699"/>
      <c r="P33" s="519"/>
      <c r="Q33" s="169"/>
      <c r="R33" s="164"/>
      <c r="S33" s="51">
        <v>3</v>
      </c>
      <c r="T33" s="51"/>
      <c r="U33" s="520"/>
      <c r="V33" s="519"/>
      <c r="W33" s="169"/>
      <c r="X33" s="133"/>
      <c r="Y33" s="51">
        <v>3</v>
      </c>
      <c r="Z33" s="51"/>
      <c r="AA33" s="699"/>
      <c r="AB33" s="519"/>
      <c r="AC33" s="169"/>
      <c r="AD33" s="562"/>
      <c r="AE33" s="516"/>
    </row>
    <row r="34" spans="1:31" ht="16.2" customHeight="1" thickBot="1">
      <c r="A34" s="51">
        <v>3</v>
      </c>
      <c r="B34" s="51"/>
      <c r="C34" s="520"/>
      <c r="D34" s="208"/>
      <c r="E34" s="167"/>
      <c r="F34" s="133"/>
      <c r="G34" s="51">
        <v>3</v>
      </c>
      <c r="H34" s="51"/>
      <c r="I34" s="520"/>
      <c r="J34" s="208"/>
      <c r="K34" s="169"/>
      <c r="L34" s="133"/>
      <c r="M34" s="51">
        <v>3</v>
      </c>
      <c r="N34" s="51"/>
      <c r="O34" s="699"/>
      <c r="P34" s="519"/>
      <c r="Q34" s="169"/>
      <c r="R34" s="164"/>
      <c r="S34" s="51">
        <v>3</v>
      </c>
      <c r="T34" s="51"/>
      <c r="U34" s="675"/>
      <c r="V34" s="519"/>
      <c r="W34" s="169"/>
      <c r="X34" s="133"/>
      <c r="Y34" s="51">
        <v>3</v>
      </c>
      <c r="Z34" s="51"/>
      <c r="AA34" s="699"/>
      <c r="AB34" s="519"/>
      <c r="AC34" s="169"/>
      <c r="AD34" s="562"/>
      <c r="AE34" s="516"/>
    </row>
    <row r="35" spans="1:31" ht="16.2" customHeight="1" thickTop="1">
      <c r="A35" s="51">
        <v>4</v>
      </c>
      <c r="B35" s="51"/>
      <c r="C35" s="523" t="s">
        <v>692</v>
      </c>
      <c r="D35" s="27">
        <f>SUM(D27:D34)</f>
        <v>2350</v>
      </c>
      <c r="E35" s="34"/>
      <c r="F35" s="75">
        <f>SUM(F27:F34)</f>
        <v>0</v>
      </c>
      <c r="G35" s="51">
        <v>4</v>
      </c>
      <c r="H35" s="51"/>
      <c r="I35" s="523" t="s">
        <v>692</v>
      </c>
      <c r="J35" s="27">
        <f>SUM(J27:J34)</f>
        <v>3300</v>
      </c>
      <c r="K35" s="37"/>
      <c r="L35" s="75">
        <f>SUM(L27:L34)</f>
        <v>0</v>
      </c>
      <c r="M35" s="51">
        <v>4</v>
      </c>
      <c r="N35" s="51"/>
      <c r="O35" s="523" t="s">
        <v>692</v>
      </c>
      <c r="P35" s="27">
        <f>SUM(P27:P34)</f>
        <v>3100</v>
      </c>
      <c r="Q35" s="37"/>
      <c r="R35" s="75">
        <f>SUM(R27:R34)</f>
        <v>0</v>
      </c>
      <c r="S35" s="51">
        <v>4</v>
      </c>
      <c r="T35" s="51"/>
      <c r="U35" s="523" t="s">
        <v>692</v>
      </c>
      <c r="V35" s="27">
        <f>SUM(V27:V34)</f>
        <v>9250</v>
      </c>
      <c r="W35" s="37"/>
      <c r="X35" s="75">
        <f>SUM(X27:X34)</f>
        <v>0</v>
      </c>
      <c r="Y35" s="51">
        <v>4</v>
      </c>
      <c r="Z35" s="51"/>
      <c r="AA35" s="523" t="s">
        <v>692</v>
      </c>
      <c r="AB35" s="522">
        <f>SUM(AB27:AB34)</f>
        <v>0</v>
      </c>
      <c r="AC35" s="37"/>
      <c r="AD35" s="689">
        <f>SUM(AD27:AD34)</f>
        <v>0</v>
      </c>
      <c r="AE35" s="524">
        <f>D35+J35+P35+V35+AB35</f>
        <v>18000</v>
      </c>
    </row>
    <row r="36" spans="1:31" ht="16.2" customHeight="1">
      <c r="A36" s="51">
        <v>9</v>
      </c>
      <c r="B36" s="51"/>
      <c r="C36" s="526"/>
      <c r="D36" s="210"/>
      <c r="E36" s="228"/>
      <c r="F36" s="229"/>
      <c r="G36" s="51">
        <v>9</v>
      </c>
      <c r="H36" s="51"/>
      <c r="I36" s="526"/>
      <c r="J36" s="210"/>
      <c r="K36" s="230"/>
      <c r="L36" s="231"/>
      <c r="M36" s="51">
        <v>9</v>
      </c>
      <c r="N36" s="51"/>
      <c r="O36" s="526"/>
      <c r="P36" s="526"/>
      <c r="Q36" s="230"/>
      <c r="R36" s="229"/>
      <c r="S36" s="51">
        <v>9</v>
      </c>
      <c r="T36" s="51"/>
      <c r="U36" s="526"/>
      <c r="V36" s="526"/>
      <c r="W36" s="230"/>
      <c r="X36" s="229"/>
      <c r="Y36" s="51">
        <v>9</v>
      </c>
      <c r="Z36" s="51"/>
      <c r="AA36" s="526"/>
      <c r="AB36" s="526"/>
      <c r="AC36" s="36"/>
      <c r="AD36" s="527" t="s">
        <v>692</v>
      </c>
      <c r="AE36" s="93">
        <f>A門真市折込部数+M門真市折込部数+S門真市折込部数+Y門真市折込部数+AD35</f>
        <v>0</v>
      </c>
    </row>
    <row r="37" spans="1:31" ht="16.2" customHeight="1">
      <c r="C37" s="489"/>
      <c r="D37" s="298"/>
      <c r="E37" s="217"/>
      <c r="F37" s="224"/>
      <c r="G37" s="224"/>
      <c r="H37" s="224"/>
      <c r="I37" s="489"/>
      <c r="J37" s="298"/>
      <c r="K37" s="224"/>
      <c r="L37" s="224"/>
      <c r="M37" s="224"/>
      <c r="N37" s="224"/>
      <c r="O37" s="489"/>
      <c r="P37" s="489"/>
      <c r="Q37" s="224"/>
      <c r="R37" s="224"/>
      <c r="S37" s="224"/>
      <c r="T37" s="224"/>
      <c r="U37" s="489"/>
      <c r="V37" s="489"/>
      <c r="W37" s="224"/>
      <c r="X37" s="224"/>
      <c r="Y37" s="224"/>
      <c r="Z37" s="224"/>
      <c r="AA37" s="489"/>
      <c r="AB37" s="489"/>
      <c r="AC37" s="224"/>
      <c r="AD37" s="224"/>
      <c r="AE37" s="489"/>
    </row>
    <row r="38" spans="1:31" ht="16.2" customHeight="1">
      <c r="C38" s="489"/>
      <c r="D38" s="298"/>
      <c r="E38" s="217"/>
      <c r="F38" s="224"/>
      <c r="G38" s="224"/>
      <c r="H38" s="224"/>
      <c r="I38" s="489"/>
      <c r="J38" s="298"/>
      <c r="K38" s="224"/>
      <c r="L38" s="224"/>
      <c r="M38" s="224"/>
      <c r="N38" s="224"/>
      <c r="O38" s="489"/>
      <c r="P38" s="489"/>
      <c r="Q38" s="224"/>
      <c r="R38" s="224"/>
      <c r="S38" s="224"/>
      <c r="T38" s="224"/>
      <c r="U38" s="489"/>
      <c r="V38" s="489"/>
      <c r="W38" s="224"/>
      <c r="X38" s="224"/>
      <c r="Y38" s="224"/>
      <c r="Z38" s="224"/>
      <c r="AA38" s="489"/>
      <c r="AB38" s="489"/>
      <c r="AC38" s="224"/>
      <c r="AD38" s="224"/>
      <c r="AE38" s="489"/>
    </row>
    <row r="39" spans="1:31" ht="16.2" customHeight="1">
      <c r="C39" s="489"/>
      <c r="D39" s="298"/>
      <c r="E39" s="217"/>
      <c r="F39" s="224"/>
      <c r="G39" s="224"/>
      <c r="H39" s="224"/>
      <c r="I39" s="489"/>
      <c r="J39" s="298"/>
      <c r="K39" s="224"/>
      <c r="L39" s="224"/>
      <c r="M39" s="224"/>
      <c r="N39" s="224"/>
      <c r="O39" s="489"/>
      <c r="P39" s="489"/>
      <c r="Q39" s="224"/>
      <c r="R39" s="224"/>
      <c r="S39" s="224"/>
      <c r="T39" s="224"/>
      <c r="U39" s="489"/>
      <c r="V39" s="489"/>
      <c r="W39" s="224"/>
      <c r="X39" s="224"/>
      <c r="Y39" s="224"/>
      <c r="Z39" s="224"/>
      <c r="AA39" s="489"/>
      <c r="AB39" s="489"/>
      <c r="AC39" s="224"/>
      <c r="AD39" s="224"/>
      <c r="AE39" s="489"/>
    </row>
    <row r="40" spans="1:31" ht="16.2" customHeight="1">
      <c r="C40" s="489"/>
      <c r="D40" s="298"/>
      <c r="E40" s="217"/>
      <c r="F40" s="224"/>
      <c r="G40" s="224"/>
      <c r="H40" s="224"/>
      <c r="I40" s="489"/>
      <c r="J40" s="298"/>
      <c r="K40" s="224"/>
      <c r="L40" s="224"/>
      <c r="M40" s="224"/>
      <c r="N40" s="224"/>
      <c r="O40" s="489"/>
      <c r="P40" s="489"/>
      <c r="Q40" s="224"/>
      <c r="R40" s="224"/>
      <c r="S40" s="224"/>
      <c r="T40" s="224"/>
      <c r="U40" s="489"/>
      <c r="V40" s="489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1:31" ht="16.2" customHeight="1">
      <c r="C41" s="489"/>
      <c r="D41" s="298"/>
      <c r="E41" s="217"/>
      <c r="F41" s="224"/>
      <c r="G41" s="224"/>
      <c r="H41" s="224"/>
      <c r="I41" s="489"/>
      <c r="J41" s="298"/>
      <c r="K41" s="224"/>
      <c r="L41" s="224"/>
      <c r="M41" s="224"/>
      <c r="N41" s="224"/>
      <c r="O41" s="489"/>
      <c r="P41" s="489"/>
      <c r="Q41" s="224"/>
      <c r="R41" s="224"/>
      <c r="S41" s="224"/>
      <c r="T41" s="224"/>
      <c r="U41" s="18"/>
      <c r="V41" s="213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1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18"/>
      <c r="V42" s="213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537"/>
      <c r="V43" s="213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537"/>
      <c r="V44" s="213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537"/>
      <c r="V45" s="213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537"/>
      <c r="V46" s="213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298"/>
      <c r="E103" s="217"/>
      <c r="F103" s="224"/>
      <c r="G103" s="224"/>
      <c r="H103" s="224"/>
      <c r="I103" s="489"/>
      <c r="J103" s="298"/>
      <c r="K103" s="224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298"/>
      <c r="E104" s="217"/>
      <c r="F104" s="224"/>
      <c r="G104" s="224"/>
      <c r="H104" s="224"/>
      <c r="I104" s="489"/>
      <c r="J104" s="298"/>
      <c r="K104" s="224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298"/>
      <c r="E105" s="217"/>
      <c r="F105" s="224"/>
      <c r="G105" s="224"/>
      <c r="H105" s="224"/>
      <c r="I105" s="489"/>
      <c r="J105" s="298"/>
      <c r="K105" s="224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298"/>
      <c r="E106" s="217"/>
      <c r="F106" s="224"/>
      <c r="G106" s="224"/>
      <c r="H106" s="224"/>
      <c r="I106" s="489"/>
      <c r="J106" s="298"/>
      <c r="K106" s="224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298"/>
      <c r="E107" s="217"/>
      <c r="F107" s="224"/>
      <c r="G107" s="224"/>
      <c r="H107" s="224"/>
      <c r="I107" s="489"/>
      <c r="J107" s="298"/>
      <c r="K107" s="224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298"/>
      <c r="E108" s="217"/>
      <c r="F108" s="224"/>
      <c r="G108" s="224"/>
      <c r="H108" s="224"/>
      <c r="I108" s="489"/>
      <c r="J108" s="298"/>
      <c r="K108" s="224"/>
      <c r="L108" s="224"/>
      <c r="M108" s="224"/>
      <c r="N108" s="224"/>
      <c r="O108" s="489"/>
      <c r="P108" s="489"/>
      <c r="Q108" s="224"/>
      <c r="R108" s="224"/>
      <c r="S108" s="224"/>
      <c r="T108" s="224"/>
      <c r="U108" s="489"/>
      <c r="V108" s="489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C109" s="489"/>
      <c r="D109" s="298"/>
      <c r="E109" s="217"/>
      <c r="F109" s="224"/>
      <c r="G109" s="224"/>
      <c r="H109" s="224"/>
      <c r="I109" s="489"/>
      <c r="J109" s="298"/>
      <c r="K109" s="224"/>
      <c r="L109" s="224"/>
      <c r="M109" s="224"/>
      <c r="N109" s="224"/>
      <c r="O109" s="489"/>
      <c r="P109" s="489"/>
      <c r="Q109" s="224"/>
      <c r="R109" s="224"/>
      <c r="S109" s="224"/>
      <c r="T109" s="224"/>
      <c r="U109" s="489"/>
      <c r="V109" s="489"/>
      <c r="W109" s="224"/>
      <c r="X109" s="224"/>
      <c r="Y109" s="224"/>
      <c r="Z109" s="224"/>
      <c r="AA109" s="489"/>
      <c r="AB109" s="489"/>
      <c r="AC109" s="224"/>
      <c r="AD109" s="224"/>
      <c r="AE109" s="489"/>
    </row>
    <row r="110" spans="3:31" ht="16.2" customHeight="1">
      <c r="C110" s="489"/>
      <c r="D110" s="298"/>
      <c r="E110" s="217"/>
      <c r="F110" s="224"/>
      <c r="G110" s="224"/>
      <c r="H110" s="224"/>
      <c r="I110" s="489"/>
      <c r="J110" s="298"/>
      <c r="K110" s="224"/>
      <c r="L110" s="224"/>
      <c r="M110" s="224"/>
      <c r="N110" s="224"/>
      <c r="O110" s="489"/>
      <c r="P110" s="489"/>
      <c r="Q110" s="224"/>
      <c r="R110" s="224"/>
      <c r="S110" s="224"/>
      <c r="T110" s="224"/>
      <c r="U110" s="489"/>
      <c r="V110" s="489"/>
      <c r="W110" s="224"/>
      <c r="X110" s="224"/>
      <c r="Y110" s="224"/>
      <c r="Z110" s="224"/>
      <c r="AA110" s="489"/>
      <c r="AB110" s="489"/>
      <c r="AC110" s="224"/>
      <c r="AD110" s="224"/>
      <c r="AE110" s="489"/>
    </row>
    <row r="111" spans="3:31" ht="16.2" customHeight="1">
      <c r="C111" s="489"/>
      <c r="D111" s="298"/>
      <c r="E111" s="217"/>
      <c r="F111" s="224"/>
      <c r="G111" s="224"/>
      <c r="H111" s="224"/>
      <c r="I111" s="489"/>
      <c r="J111" s="298"/>
      <c r="K111" s="224"/>
      <c r="L111" s="224"/>
      <c r="M111" s="224"/>
      <c r="N111" s="224"/>
      <c r="O111" s="489"/>
      <c r="P111" s="489"/>
      <c r="Q111" s="224"/>
      <c r="R111" s="224"/>
      <c r="S111" s="224"/>
      <c r="T111" s="224"/>
      <c r="U111" s="489"/>
      <c r="V111" s="489"/>
      <c r="W111" s="224"/>
      <c r="X111" s="224"/>
      <c r="Y111" s="224"/>
      <c r="Z111" s="224"/>
      <c r="AA111" s="489"/>
      <c r="AB111" s="489"/>
      <c r="AC111" s="224"/>
      <c r="AD111" s="224"/>
      <c r="AE111" s="489"/>
    </row>
    <row r="112" spans="3:31" ht="16.2" customHeight="1">
      <c r="C112" s="489"/>
      <c r="D112" s="298"/>
      <c r="E112" s="217"/>
      <c r="F112" s="224"/>
      <c r="G112" s="224"/>
      <c r="H112" s="224"/>
      <c r="I112" s="489"/>
      <c r="J112" s="298"/>
      <c r="K112" s="224"/>
      <c r="L112" s="224"/>
      <c r="M112" s="224"/>
      <c r="N112" s="224"/>
      <c r="O112" s="489"/>
      <c r="P112" s="489"/>
      <c r="Q112" s="224"/>
      <c r="R112" s="224"/>
      <c r="S112" s="224"/>
      <c r="T112" s="224"/>
      <c r="U112" s="489"/>
      <c r="V112" s="489"/>
      <c r="W112" s="224"/>
      <c r="X112" s="224"/>
      <c r="Y112" s="224"/>
      <c r="Z112" s="224"/>
      <c r="AA112" s="489"/>
      <c r="AB112" s="489"/>
      <c r="AC112" s="224"/>
      <c r="AD112" s="224"/>
      <c r="AE112" s="489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  <row r="520" spans="4:10" ht="16.2" customHeight="1">
      <c r="D520" s="1"/>
      <c r="J520" s="1"/>
    </row>
  </sheetData>
  <sheetProtection formatCells="0"/>
  <mergeCells count="14">
    <mergeCell ref="D7:L8"/>
    <mergeCell ref="C10:F10"/>
    <mergeCell ref="I10:L10"/>
    <mergeCell ref="AA10:AD10"/>
    <mergeCell ref="W7:X7"/>
    <mergeCell ref="O10:R10"/>
    <mergeCell ref="U10:X10"/>
    <mergeCell ref="P7:Q8"/>
    <mergeCell ref="AA7:AE8"/>
    <mergeCell ref="C2:F3"/>
    <mergeCell ref="D5:L6"/>
    <mergeCell ref="W5:X5"/>
    <mergeCell ref="P5:V6"/>
    <mergeCell ref="AA5:AC6"/>
  </mergeCells>
  <phoneticPr fontId="2"/>
  <conditionalFormatting sqref="F13:F21 L13:L19 R13:R20 R27:R32 L27:L30 F27:F30 X13:X22 X27:X3515">
    <cfRule type="cellIs" dxfId="27" priority="1" operator="greaterThan">
      <formula>D13</formula>
    </cfRule>
  </conditionalFormatting>
  <hyperlinks>
    <hyperlink ref="C2:F3" location="提案表紙!A1" display="大阪府折込資料表" xr:uid="{00000000-0004-0000-13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 xml:space="preserve">&amp;L寝屋川市・門真市&amp;RP-16/34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rgb="FFB6D2F5"/>
    <pageSetUpPr fitToPage="1"/>
  </sheetPr>
  <dimension ref="A1:AE521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179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180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181</v>
      </c>
      <c r="P7" s="827">
        <f>提案表紙!G9</f>
        <v>0</v>
      </c>
      <c r="Q7" s="828"/>
      <c r="R7" s="7" t="s">
        <v>676</v>
      </c>
      <c r="S7"/>
      <c r="T7"/>
      <c r="U7" s="410">
        <f>守口市折込部数+交野市折込部数+四条畷市折込部数+大東市折込部数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1421</v>
      </c>
      <c r="C12" s="46" t="s">
        <v>189</v>
      </c>
      <c r="D12" s="12"/>
      <c r="E12" s="32"/>
      <c r="F12" s="223"/>
      <c r="G12" s="51">
        <v>2</v>
      </c>
      <c r="H12" s="488" t="s">
        <v>1421</v>
      </c>
      <c r="I12" s="464"/>
      <c r="J12" s="211"/>
      <c r="K12" s="232"/>
      <c r="L12" s="223"/>
      <c r="M12" s="51">
        <v>2</v>
      </c>
      <c r="N12" s="488" t="s">
        <v>1421</v>
      </c>
      <c r="O12" s="464"/>
      <c r="P12" s="464"/>
      <c r="Q12" s="232"/>
      <c r="R12" s="223"/>
      <c r="S12" s="51">
        <v>2</v>
      </c>
      <c r="T12" s="488" t="s">
        <v>1421</v>
      </c>
      <c r="U12" s="464"/>
      <c r="V12" s="464"/>
      <c r="W12" s="232"/>
      <c r="X12" s="223"/>
      <c r="Y12" s="51">
        <v>2</v>
      </c>
      <c r="Z12" s="488" t="s">
        <v>1421</v>
      </c>
      <c r="AA12" s="464"/>
      <c r="AB12" s="464"/>
      <c r="AC12" s="35"/>
      <c r="AD12" s="16"/>
      <c r="AE12" s="11"/>
    </row>
    <row r="13" spans="1:31" ht="16.2" customHeight="1">
      <c r="A13" s="51">
        <v>3</v>
      </c>
      <c r="B13" s="51">
        <v>72269</v>
      </c>
      <c r="C13" s="441" t="s">
        <v>190</v>
      </c>
      <c r="D13" s="148">
        <v>700</v>
      </c>
      <c r="E13" s="142"/>
      <c r="F13" s="404"/>
      <c r="G13" s="51">
        <v>3</v>
      </c>
      <c r="H13" s="51">
        <v>73257</v>
      </c>
      <c r="I13" s="441" t="s">
        <v>1046</v>
      </c>
      <c r="J13" s="148">
        <v>2200</v>
      </c>
      <c r="K13" s="142"/>
      <c r="L13" s="404"/>
      <c r="M13" s="51">
        <v>3</v>
      </c>
      <c r="N13" s="51">
        <v>75277</v>
      </c>
      <c r="O13" s="441" t="s">
        <v>190</v>
      </c>
      <c r="P13" s="148">
        <v>1000</v>
      </c>
      <c r="Q13" s="142"/>
      <c r="R13" s="404"/>
      <c r="S13" s="51">
        <v>3</v>
      </c>
      <c r="T13" s="51">
        <v>74341</v>
      </c>
      <c r="U13" s="441" t="s">
        <v>1251</v>
      </c>
      <c r="V13" s="148">
        <v>2500</v>
      </c>
      <c r="W13" s="142"/>
      <c r="X13" s="404"/>
      <c r="Y13" s="51">
        <v>3</v>
      </c>
      <c r="Z13" s="51"/>
      <c r="AA13" s="688"/>
      <c r="AB13" s="511"/>
      <c r="AC13" s="170"/>
      <c r="AD13" s="171"/>
      <c r="AE13" s="513"/>
    </row>
    <row r="14" spans="1:31" ht="16.2" customHeight="1">
      <c r="A14" s="51">
        <v>3</v>
      </c>
      <c r="B14" s="51">
        <v>72271</v>
      </c>
      <c r="C14" s="691" t="s">
        <v>191</v>
      </c>
      <c r="D14" s="352">
        <v>1400</v>
      </c>
      <c r="E14" s="165"/>
      <c r="F14" s="405"/>
      <c r="G14" s="51">
        <v>3</v>
      </c>
      <c r="H14" s="51">
        <v>73259</v>
      </c>
      <c r="I14" s="691" t="s">
        <v>1047</v>
      </c>
      <c r="J14" s="352">
        <v>1450</v>
      </c>
      <c r="K14" s="165"/>
      <c r="L14" s="405"/>
      <c r="M14" s="51">
        <v>3</v>
      </c>
      <c r="N14" s="51">
        <v>75279</v>
      </c>
      <c r="O14" s="691" t="s">
        <v>1050</v>
      </c>
      <c r="P14" s="352">
        <v>400</v>
      </c>
      <c r="Q14" s="165"/>
      <c r="R14" s="405"/>
      <c r="S14" s="51">
        <v>3</v>
      </c>
      <c r="T14" s="51">
        <v>74343</v>
      </c>
      <c r="U14" s="691" t="s">
        <v>190</v>
      </c>
      <c r="V14" s="352">
        <v>1800</v>
      </c>
      <c r="W14" s="142"/>
      <c r="X14" s="405"/>
      <c r="Y14" s="51">
        <v>3</v>
      </c>
      <c r="Z14" s="51"/>
      <c r="AA14" s="667"/>
      <c r="AB14" s="543"/>
      <c r="AC14" s="172"/>
      <c r="AD14" s="173"/>
      <c r="AE14" s="516"/>
    </row>
    <row r="15" spans="1:31" ht="16.2" customHeight="1">
      <c r="A15" s="51">
        <v>3</v>
      </c>
      <c r="B15" s="51">
        <v>72275</v>
      </c>
      <c r="C15" s="691" t="s">
        <v>1046</v>
      </c>
      <c r="D15" s="352">
        <v>2350</v>
      </c>
      <c r="E15" s="165"/>
      <c r="F15" s="405"/>
      <c r="G15" s="51">
        <v>3</v>
      </c>
      <c r="H15" s="51">
        <v>73261</v>
      </c>
      <c r="I15" s="691" t="s">
        <v>1048</v>
      </c>
      <c r="J15" s="352">
        <v>400</v>
      </c>
      <c r="K15" s="165"/>
      <c r="L15" s="405"/>
      <c r="M15" s="51">
        <v>3</v>
      </c>
      <c r="N15" s="51">
        <v>75281</v>
      </c>
      <c r="O15" s="691" t="s">
        <v>191</v>
      </c>
      <c r="P15" s="352">
        <v>1000</v>
      </c>
      <c r="Q15" s="165"/>
      <c r="R15" s="405"/>
      <c r="S15" s="51">
        <v>3</v>
      </c>
      <c r="T15" s="51">
        <v>74345</v>
      </c>
      <c r="U15" s="691" t="s">
        <v>191</v>
      </c>
      <c r="V15" s="352">
        <v>2200</v>
      </c>
      <c r="W15" s="142"/>
      <c r="X15" s="405"/>
      <c r="Y15" s="51">
        <v>3</v>
      </c>
      <c r="Z15" s="51"/>
      <c r="AA15" s="667"/>
      <c r="AB15" s="543"/>
      <c r="AC15" s="172"/>
      <c r="AD15" s="173"/>
      <c r="AE15" s="516"/>
    </row>
    <row r="16" spans="1:31" ht="16.2" customHeight="1">
      <c r="A16" s="51">
        <v>3</v>
      </c>
      <c r="B16" s="51"/>
      <c r="C16" s="691"/>
      <c r="D16" s="352"/>
      <c r="E16" s="165"/>
      <c r="F16" s="405"/>
      <c r="G16" s="51">
        <v>3</v>
      </c>
      <c r="H16" s="51">
        <v>73263</v>
      </c>
      <c r="I16" s="691" t="s">
        <v>1049</v>
      </c>
      <c r="J16" s="352">
        <v>1000</v>
      </c>
      <c r="K16" s="165"/>
      <c r="L16" s="405"/>
      <c r="M16" s="51">
        <v>3</v>
      </c>
      <c r="N16" s="51">
        <v>75285</v>
      </c>
      <c r="O16" s="691" t="s">
        <v>1049</v>
      </c>
      <c r="P16" s="352">
        <v>1000</v>
      </c>
      <c r="Q16" s="165"/>
      <c r="R16" s="405"/>
      <c r="S16" s="51">
        <v>3</v>
      </c>
      <c r="T16" s="51"/>
      <c r="U16" s="691"/>
      <c r="V16" s="352"/>
      <c r="W16" s="142"/>
      <c r="X16" s="405"/>
      <c r="Y16" s="51">
        <v>3</v>
      </c>
      <c r="Z16" s="51"/>
      <c r="AA16" s="667"/>
      <c r="AB16" s="543"/>
      <c r="AC16" s="172"/>
      <c r="AD16" s="173"/>
      <c r="AE16" s="516"/>
    </row>
    <row r="17" spans="1:31" ht="16.2" customHeight="1">
      <c r="A17" s="51">
        <v>3</v>
      </c>
      <c r="B17" s="51"/>
      <c r="C17" s="692"/>
      <c r="D17" s="226"/>
      <c r="E17" s="165"/>
      <c r="F17" s="157"/>
      <c r="G17" s="51">
        <v>3</v>
      </c>
      <c r="H17" s="51"/>
      <c r="I17" s="692"/>
      <c r="J17" s="226"/>
      <c r="K17" s="165"/>
      <c r="L17" s="157"/>
      <c r="M17" s="51">
        <v>3</v>
      </c>
      <c r="N17" s="51">
        <v>75287</v>
      </c>
      <c r="O17" s="691" t="s">
        <v>682</v>
      </c>
      <c r="P17" s="352">
        <v>1100</v>
      </c>
      <c r="Q17" s="165"/>
      <c r="R17" s="405"/>
      <c r="S17" s="51">
        <v>3</v>
      </c>
      <c r="T17" s="51"/>
      <c r="U17" s="691"/>
      <c r="V17" s="352"/>
      <c r="W17" s="142"/>
      <c r="X17" s="405"/>
      <c r="Y17" s="51">
        <v>3</v>
      </c>
      <c r="Z17" s="51"/>
      <c r="AA17" s="667"/>
      <c r="AB17" s="543"/>
      <c r="AC17" s="172"/>
      <c r="AD17" s="173"/>
      <c r="AE17" s="516"/>
    </row>
    <row r="18" spans="1:31" ht="16.2" customHeight="1" thickBot="1">
      <c r="A18" s="51">
        <v>3</v>
      </c>
      <c r="B18" s="51"/>
      <c r="C18" s="692"/>
      <c r="D18" s="226"/>
      <c r="E18" s="165"/>
      <c r="F18" s="157"/>
      <c r="G18" s="51">
        <v>3</v>
      </c>
      <c r="H18" s="51"/>
      <c r="I18" s="692"/>
      <c r="J18" s="226"/>
      <c r="K18" s="165"/>
      <c r="L18" s="157"/>
      <c r="M18" s="51">
        <v>3</v>
      </c>
      <c r="N18" s="51"/>
      <c r="O18" s="692"/>
      <c r="P18" s="226"/>
      <c r="Q18" s="165"/>
      <c r="R18" s="157"/>
      <c r="S18" s="51">
        <v>3</v>
      </c>
      <c r="T18" s="51"/>
      <c r="U18" s="692"/>
      <c r="V18" s="226"/>
      <c r="W18" s="142"/>
      <c r="X18" s="157"/>
      <c r="Y18" s="51">
        <v>3</v>
      </c>
      <c r="Z18" s="51"/>
      <c r="AA18" s="667"/>
      <c r="AB18" s="543"/>
      <c r="AC18" s="172"/>
      <c r="AD18" s="173"/>
      <c r="AE18" s="516"/>
    </row>
    <row r="19" spans="1:31" ht="16.2" customHeight="1" thickTop="1">
      <c r="A19" s="51">
        <v>4</v>
      </c>
      <c r="B19" s="51"/>
      <c r="C19" s="523" t="s">
        <v>692</v>
      </c>
      <c r="D19" s="27">
        <f>SUM(D13:D18)</f>
        <v>4450</v>
      </c>
      <c r="E19" s="34"/>
      <c r="F19" s="75">
        <f>SUM(F13:F18)</f>
        <v>0</v>
      </c>
      <c r="G19" s="51">
        <v>4</v>
      </c>
      <c r="H19" s="51"/>
      <c r="I19" s="523" t="s">
        <v>692</v>
      </c>
      <c r="J19" s="27">
        <f>SUM(J13:J18)</f>
        <v>5050</v>
      </c>
      <c r="K19" s="37"/>
      <c r="L19" s="75">
        <f>SUM(L13:L18)</f>
        <v>0</v>
      </c>
      <c r="M19" s="51">
        <v>4</v>
      </c>
      <c r="N19" s="51"/>
      <c r="O19" s="523" t="s">
        <v>692</v>
      </c>
      <c r="P19" s="27">
        <f>SUM(P13:P18)</f>
        <v>4500</v>
      </c>
      <c r="Q19" s="37"/>
      <c r="R19" s="75">
        <f>SUM(R13:R18)</f>
        <v>0</v>
      </c>
      <c r="S19" s="51">
        <v>4</v>
      </c>
      <c r="T19" s="51"/>
      <c r="U19" s="523" t="s">
        <v>692</v>
      </c>
      <c r="V19" s="27">
        <f>SUM(V13:V18)</f>
        <v>6500</v>
      </c>
      <c r="W19" s="28"/>
      <c r="X19" s="75">
        <f>SUM(X13:X18)</f>
        <v>0</v>
      </c>
      <c r="Y19" s="51">
        <v>4</v>
      </c>
      <c r="Z19" s="51"/>
      <c r="AA19" s="523" t="s">
        <v>692</v>
      </c>
      <c r="AB19" s="283">
        <f>SUM(AB13:AB18)</f>
        <v>0</v>
      </c>
      <c r="AC19" s="282"/>
      <c r="AD19" s="75">
        <f>SUM(AD13:AD18)</f>
        <v>0</v>
      </c>
      <c r="AE19" s="524">
        <f>D19+J19+P19+V19+AB19</f>
        <v>20500</v>
      </c>
    </row>
    <row r="20" spans="1:31" ht="16.2" customHeight="1">
      <c r="A20" s="51"/>
      <c r="B20" s="51"/>
      <c r="D20" s="1"/>
      <c r="G20" s="51"/>
      <c r="H20" s="51"/>
      <c r="J20" s="1"/>
      <c r="L20" s="233"/>
      <c r="M20" s="51"/>
      <c r="N20" s="51"/>
      <c r="O20" s="489"/>
      <c r="P20" s="489"/>
      <c r="Q20" s="224"/>
      <c r="R20" s="233"/>
      <c r="S20" s="51"/>
      <c r="T20" s="51"/>
      <c r="U20" s="489"/>
      <c r="V20" s="489"/>
      <c r="W20" s="224"/>
      <c r="X20" s="224"/>
      <c r="Y20" s="51"/>
      <c r="Z20" s="51"/>
      <c r="AA20" s="489"/>
      <c r="AB20" s="489"/>
      <c r="AC20" s="224"/>
      <c r="AD20" s="527" t="s">
        <v>692</v>
      </c>
      <c r="AE20" s="93">
        <f>A守口市折込部数+M守口市折込部数+S守口市折込部数+Y守口市折込部数+AD19</f>
        <v>0</v>
      </c>
    </row>
    <row r="21" spans="1:31" ht="16.2" customHeight="1">
      <c r="A21" s="51">
        <v>2</v>
      </c>
      <c r="B21" s="488" t="s">
        <v>1422</v>
      </c>
      <c r="C21" s="46" t="s">
        <v>1051</v>
      </c>
      <c r="D21"/>
      <c r="G21" s="51">
        <v>2</v>
      </c>
      <c r="H21" s="488" t="s">
        <v>1422</v>
      </c>
      <c r="J21"/>
      <c r="K21" s="15"/>
      <c r="M21" s="51">
        <v>2</v>
      </c>
      <c r="N21" s="488" t="s">
        <v>1422</v>
      </c>
      <c r="Q21" s="15"/>
      <c r="R21"/>
      <c r="S21" s="51">
        <v>2</v>
      </c>
      <c r="T21" s="488" t="s">
        <v>1422</v>
      </c>
      <c r="W21" s="15"/>
      <c r="X21"/>
      <c r="Y21" s="51">
        <v>2</v>
      </c>
      <c r="Z21" s="488" t="s">
        <v>1422</v>
      </c>
      <c r="AB21" s="15"/>
      <c r="AC21"/>
      <c r="AD21"/>
    </row>
    <row r="22" spans="1:31" ht="16.2" customHeight="1">
      <c r="A22" s="51">
        <v>3</v>
      </c>
      <c r="B22" s="51">
        <v>72277</v>
      </c>
      <c r="C22" s="441" t="s">
        <v>1052</v>
      </c>
      <c r="D22" s="148">
        <v>1900</v>
      </c>
      <c r="E22" s="155"/>
      <c r="F22" s="404"/>
      <c r="G22" s="51">
        <v>3</v>
      </c>
      <c r="H22" s="51">
        <v>73265</v>
      </c>
      <c r="I22" s="441" t="s">
        <v>1053</v>
      </c>
      <c r="J22" s="148">
        <v>1650</v>
      </c>
      <c r="K22" s="155"/>
      <c r="L22" s="404"/>
      <c r="M22" s="51">
        <v>3</v>
      </c>
      <c r="N22" s="51">
        <v>75289</v>
      </c>
      <c r="O22" s="690" t="s">
        <v>747</v>
      </c>
      <c r="P22" s="148">
        <v>700</v>
      </c>
      <c r="Q22" s="130"/>
      <c r="R22" s="404"/>
      <c r="S22" s="51">
        <v>3</v>
      </c>
      <c r="T22" s="51">
        <v>74349</v>
      </c>
      <c r="U22" s="441" t="s">
        <v>1053</v>
      </c>
      <c r="V22" s="148">
        <v>1200</v>
      </c>
      <c r="W22" s="155"/>
      <c r="X22" s="404"/>
      <c r="Y22" s="51">
        <v>3</v>
      </c>
      <c r="Z22" s="51"/>
      <c r="AA22" s="688"/>
      <c r="AB22" s="511"/>
      <c r="AC22" s="130"/>
      <c r="AD22" s="541"/>
      <c r="AE22" s="513"/>
    </row>
    <row r="23" spans="1:31" ht="16.2" customHeight="1">
      <c r="A23" s="51">
        <v>3</v>
      </c>
      <c r="B23" s="51">
        <v>72279</v>
      </c>
      <c r="C23" s="386" t="s">
        <v>1053</v>
      </c>
      <c r="D23" s="143">
        <v>1500</v>
      </c>
      <c r="E23" s="142"/>
      <c r="F23" s="405"/>
      <c r="G23" s="51">
        <v>3</v>
      </c>
      <c r="H23" s="51">
        <v>73267</v>
      </c>
      <c r="I23" s="386" t="s">
        <v>1067</v>
      </c>
      <c r="J23" s="143">
        <v>800</v>
      </c>
      <c r="K23" s="142"/>
      <c r="L23" s="405"/>
      <c r="M23" s="51">
        <v>3</v>
      </c>
      <c r="N23" s="51">
        <v>75291</v>
      </c>
      <c r="O23" s="386" t="s">
        <v>1053</v>
      </c>
      <c r="P23" s="143">
        <v>600</v>
      </c>
      <c r="Q23" s="168"/>
      <c r="R23" s="405"/>
      <c r="S23" s="51">
        <v>3</v>
      </c>
      <c r="T23" s="51">
        <v>74351</v>
      </c>
      <c r="U23" s="386" t="s">
        <v>1303</v>
      </c>
      <c r="V23" s="143">
        <v>1250</v>
      </c>
      <c r="W23" s="168"/>
      <c r="X23" s="405"/>
      <c r="Y23" s="51">
        <v>3</v>
      </c>
      <c r="Z23" s="51"/>
      <c r="AA23" s="561"/>
      <c r="AB23" s="515"/>
      <c r="AC23" s="168"/>
      <c r="AD23" s="550"/>
      <c r="AE23" s="516"/>
    </row>
    <row r="24" spans="1:31" ht="16.2" customHeight="1">
      <c r="A24" s="51">
        <v>3</v>
      </c>
      <c r="B24" s="51"/>
      <c r="C24" s="512"/>
      <c r="D24" s="139"/>
      <c r="E24" s="142"/>
      <c r="F24" s="132"/>
      <c r="G24" s="51">
        <v>3</v>
      </c>
      <c r="H24" s="51"/>
      <c r="I24" s="512"/>
      <c r="J24" s="139"/>
      <c r="K24" s="142"/>
      <c r="L24" s="132"/>
      <c r="M24" s="51">
        <v>3</v>
      </c>
      <c r="N24" s="51">
        <v>75293</v>
      </c>
      <c r="O24" s="386" t="s">
        <v>1054</v>
      </c>
      <c r="P24" s="143">
        <v>650</v>
      </c>
      <c r="Q24" s="168"/>
      <c r="R24" s="405"/>
      <c r="S24" s="51">
        <v>3</v>
      </c>
      <c r="T24" s="51">
        <v>74353</v>
      </c>
      <c r="U24" s="386" t="s">
        <v>1091</v>
      </c>
      <c r="V24" s="143">
        <v>1350</v>
      </c>
      <c r="W24" s="168"/>
      <c r="X24" s="405"/>
      <c r="Y24" s="51">
        <v>3</v>
      </c>
      <c r="Z24" s="51"/>
      <c r="AA24" s="561"/>
      <c r="AB24" s="515"/>
      <c r="AC24" s="168"/>
      <c r="AD24" s="550"/>
      <c r="AE24" s="516"/>
    </row>
    <row r="25" spans="1:31" ht="16.2" customHeight="1" thickBot="1">
      <c r="A25" s="51">
        <v>3</v>
      </c>
      <c r="B25" s="51"/>
      <c r="C25" s="512"/>
      <c r="D25" s="139"/>
      <c r="E25" s="142"/>
      <c r="F25" s="132"/>
      <c r="G25" s="51">
        <v>3</v>
      </c>
      <c r="H25" s="51"/>
      <c r="I25" s="512"/>
      <c r="J25" s="139"/>
      <c r="K25" s="168"/>
      <c r="L25" s="132"/>
      <c r="M25" s="51">
        <v>3</v>
      </c>
      <c r="N25" s="51"/>
      <c r="O25" s="512"/>
      <c r="P25" s="515"/>
      <c r="Q25" s="168"/>
      <c r="R25" s="163"/>
      <c r="S25" s="51">
        <v>3</v>
      </c>
      <c r="T25" s="51"/>
      <c r="U25" s="512"/>
      <c r="V25" s="139"/>
      <c r="W25" s="168"/>
      <c r="X25" s="132"/>
      <c r="Y25" s="51">
        <v>3</v>
      </c>
      <c r="Z25" s="51"/>
      <c r="AA25" s="561"/>
      <c r="AB25" s="515"/>
      <c r="AC25" s="168"/>
      <c r="AD25" s="550"/>
      <c r="AE25" s="516"/>
    </row>
    <row r="26" spans="1:31" ht="16.2" customHeight="1" thickTop="1">
      <c r="A26" s="51">
        <v>4</v>
      </c>
      <c r="B26" s="51"/>
      <c r="C26" s="523" t="s">
        <v>692</v>
      </c>
      <c r="D26" s="27">
        <f>SUM(D22:D25)</f>
        <v>3400</v>
      </c>
      <c r="E26" s="34"/>
      <c r="F26" s="75">
        <f>SUM(F22:F25)</f>
        <v>0</v>
      </c>
      <c r="G26" s="51">
        <v>4</v>
      </c>
      <c r="H26" s="51"/>
      <c r="I26" s="523" t="s">
        <v>692</v>
      </c>
      <c r="J26" s="27">
        <f>SUM(J22:J25)</f>
        <v>2450</v>
      </c>
      <c r="K26" s="37"/>
      <c r="L26" s="75">
        <f>SUM(L22:L25)</f>
        <v>0</v>
      </c>
      <c r="M26" s="51">
        <v>4</v>
      </c>
      <c r="N26" s="51"/>
      <c r="O26" s="523" t="s">
        <v>692</v>
      </c>
      <c r="P26" s="27">
        <f>SUM(P22:P25)</f>
        <v>1950</v>
      </c>
      <c r="Q26" s="37"/>
      <c r="R26" s="75">
        <f>SUM(R22:R25)</f>
        <v>0</v>
      </c>
      <c r="S26" s="51">
        <v>4</v>
      </c>
      <c r="T26" s="51"/>
      <c r="U26" s="523" t="s">
        <v>692</v>
      </c>
      <c r="V26" s="27">
        <f>SUM(V22:V25)</f>
        <v>3800</v>
      </c>
      <c r="W26" s="37"/>
      <c r="X26" s="75">
        <f>SUM(X22:X25)</f>
        <v>0</v>
      </c>
      <c r="Y26" s="51">
        <v>4</v>
      </c>
      <c r="Z26" s="51"/>
      <c r="AA26" s="523" t="s">
        <v>692</v>
      </c>
      <c r="AB26" s="522">
        <f>SUM(AB22:AB25)</f>
        <v>0</v>
      </c>
      <c r="AC26" s="37"/>
      <c r="AD26" s="689">
        <f>SUM(AD22:AD25)</f>
        <v>0</v>
      </c>
      <c r="AE26" s="524">
        <f>D26+J26+P26+V26+AB26</f>
        <v>11600</v>
      </c>
    </row>
    <row r="27" spans="1:31" ht="16.2" customHeight="1">
      <c r="A27" s="51"/>
      <c r="B27" s="51"/>
      <c r="C27" s="526"/>
      <c r="D27" s="210"/>
      <c r="E27" s="228"/>
      <c r="F27" s="229"/>
      <c r="G27" s="51"/>
      <c r="H27" s="51"/>
      <c r="I27" s="526"/>
      <c r="J27" s="210"/>
      <c r="K27" s="230"/>
      <c r="L27" s="231"/>
      <c r="M27" s="51"/>
      <c r="N27" s="51"/>
      <c r="O27" s="526"/>
      <c r="P27" s="526"/>
      <c r="Q27" s="230"/>
      <c r="R27" s="229"/>
      <c r="S27" s="51"/>
      <c r="T27" s="51"/>
      <c r="U27" s="526"/>
      <c r="V27" s="526"/>
      <c r="W27" s="230"/>
      <c r="X27" s="229"/>
      <c r="Y27" s="51"/>
      <c r="Z27" s="51"/>
      <c r="AA27" s="526"/>
      <c r="AB27" s="526"/>
      <c r="AC27" s="36"/>
      <c r="AD27" s="527" t="s">
        <v>692</v>
      </c>
      <c r="AE27" s="93">
        <f>A交野市折込部数+M交野市折込部数+S交野市折込部数+Y交野市折込部数+AD26</f>
        <v>0</v>
      </c>
    </row>
    <row r="28" spans="1:31" ht="16.2" customHeight="1">
      <c r="A28" s="51">
        <v>2</v>
      </c>
      <c r="B28" s="488" t="s">
        <v>1423</v>
      </c>
      <c r="C28" s="46" t="s">
        <v>1055</v>
      </c>
      <c r="D28" s="12"/>
      <c r="E28" s="32"/>
      <c r="F28" s="223"/>
      <c r="G28" s="51">
        <v>2</v>
      </c>
      <c r="H28" s="488" t="s">
        <v>1423</v>
      </c>
      <c r="I28" s="464"/>
      <c r="J28" s="211"/>
      <c r="K28" s="232"/>
      <c r="L28" s="223"/>
      <c r="M28" s="51">
        <v>2</v>
      </c>
      <c r="N28" s="488" t="s">
        <v>1423</v>
      </c>
      <c r="O28" s="464"/>
      <c r="P28" s="464"/>
      <c r="Q28" s="232"/>
      <c r="R28" s="223"/>
      <c r="S28" s="51">
        <v>2</v>
      </c>
      <c r="T28" s="488" t="s">
        <v>1423</v>
      </c>
      <c r="U28" s="464"/>
      <c r="V28" s="464"/>
      <c r="W28" s="232"/>
      <c r="X28" s="223"/>
      <c r="Y28" s="51">
        <v>2</v>
      </c>
      <c r="Z28" s="488" t="s">
        <v>1423</v>
      </c>
      <c r="AA28" s="464"/>
      <c r="AB28" s="464"/>
      <c r="AC28" s="35"/>
      <c r="AD28" s="16"/>
      <c r="AE28" s="11"/>
    </row>
    <row r="29" spans="1:31" ht="16.2" customHeight="1">
      <c r="A29" s="51">
        <v>3</v>
      </c>
      <c r="B29" s="51">
        <v>72281</v>
      </c>
      <c r="C29" s="441" t="s">
        <v>1363</v>
      </c>
      <c r="D29" s="148">
        <v>1750</v>
      </c>
      <c r="E29" s="142"/>
      <c r="F29" s="404"/>
      <c r="G29" s="51">
        <v>3</v>
      </c>
      <c r="H29" s="51">
        <v>73269</v>
      </c>
      <c r="I29" s="691" t="s">
        <v>1057</v>
      </c>
      <c r="J29" s="148">
        <v>500</v>
      </c>
      <c r="K29" s="142"/>
      <c r="L29" s="404"/>
      <c r="M29" s="51">
        <v>3</v>
      </c>
      <c r="N29" s="51">
        <v>75295</v>
      </c>
      <c r="O29" s="441" t="s">
        <v>1056</v>
      </c>
      <c r="P29" s="148">
        <v>1250</v>
      </c>
      <c r="Q29" s="142"/>
      <c r="R29" s="404"/>
      <c r="S29" s="51">
        <v>3</v>
      </c>
      <c r="T29" s="51">
        <v>74355</v>
      </c>
      <c r="U29" s="691" t="s">
        <v>1057</v>
      </c>
      <c r="V29" s="497" t="s">
        <v>1566</v>
      </c>
      <c r="W29" s="142"/>
      <c r="X29" s="404"/>
      <c r="Y29" s="51">
        <v>3</v>
      </c>
      <c r="Z29" s="51"/>
      <c r="AA29" s="688"/>
      <c r="AB29" s="511"/>
      <c r="AC29" s="170"/>
      <c r="AD29" s="171"/>
      <c r="AE29" s="513"/>
    </row>
    <row r="30" spans="1:31" ht="16.2" customHeight="1">
      <c r="A30" s="51">
        <v>3</v>
      </c>
      <c r="B30" s="51"/>
      <c r="C30" s="691"/>
      <c r="D30" s="352"/>
      <c r="E30" s="165"/>
      <c r="F30" s="405"/>
      <c r="G30" s="51">
        <v>3</v>
      </c>
      <c r="H30" s="51">
        <v>73271</v>
      </c>
      <c r="I30" s="691" t="s">
        <v>1056</v>
      </c>
      <c r="J30" s="352">
        <v>1400</v>
      </c>
      <c r="K30" s="165"/>
      <c r="L30" s="405"/>
      <c r="M30" s="51">
        <v>3</v>
      </c>
      <c r="N30" s="51">
        <v>75297</v>
      </c>
      <c r="O30" s="691" t="s">
        <v>1057</v>
      </c>
      <c r="P30" s="352">
        <v>1300</v>
      </c>
      <c r="Q30" s="165"/>
      <c r="R30" s="405"/>
      <c r="S30" s="51">
        <v>3</v>
      </c>
      <c r="T30" s="51">
        <v>74357</v>
      </c>
      <c r="U30" s="691" t="s">
        <v>1056</v>
      </c>
      <c r="V30" s="352">
        <v>4150</v>
      </c>
      <c r="W30" s="142"/>
      <c r="X30" s="405"/>
      <c r="Y30" s="51">
        <v>3</v>
      </c>
      <c r="Z30" s="51"/>
      <c r="AA30" s="667"/>
      <c r="AB30" s="543"/>
      <c r="AC30" s="172"/>
      <c r="AD30" s="173"/>
      <c r="AE30" s="516"/>
    </row>
    <row r="31" spans="1:31" ht="16.2" customHeight="1" thickBot="1">
      <c r="A31" s="51">
        <v>3</v>
      </c>
      <c r="B31" s="51"/>
      <c r="C31" s="520"/>
      <c r="D31" s="208"/>
      <c r="E31" s="167"/>
      <c r="F31" s="133"/>
      <c r="G31" s="51">
        <v>3</v>
      </c>
      <c r="H31" s="51"/>
      <c r="I31" s="699"/>
      <c r="J31" s="208"/>
      <c r="K31" s="169"/>
      <c r="L31" s="133"/>
      <c r="M31" s="51">
        <v>3</v>
      </c>
      <c r="N31" s="51"/>
      <c r="O31" s="699"/>
      <c r="P31" s="519"/>
      <c r="Q31" s="169"/>
      <c r="R31" s="164"/>
      <c r="S31" s="51">
        <v>3</v>
      </c>
      <c r="T31" s="51"/>
      <c r="U31" s="520"/>
      <c r="V31" s="208"/>
      <c r="W31" s="138"/>
      <c r="X31" s="133"/>
      <c r="Y31" s="51">
        <v>3</v>
      </c>
      <c r="Z31" s="51"/>
      <c r="AA31" s="699"/>
      <c r="AB31" s="519"/>
      <c r="AC31" s="169"/>
      <c r="AD31" s="175"/>
      <c r="AE31" s="516"/>
    </row>
    <row r="32" spans="1:31" ht="16.2" customHeight="1" thickTop="1">
      <c r="A32" s="51">
        <v>4</v>
      </c>
      <c r="B32" s="51"/>
      <c r="C32" s="523" t="s">
        <v>692</v>
      </c>
      <c r="D32" s="27">
        <f>SUM(D29:D31)</f>
        <v>1750</v>
      </c>
      <c r="E32" s="34"/>
      <c r="F32" s="75">
        <f>SUM(F29:F31)</f>
        <v>0</v>
      </c>
      <c r="G32" s="51">
        <v>4</v>
      </c>
      <c r="H32" s="51"/>
      <c r="I32" s="523" t="s">
        <v>692</v>
      </c>
      <c r="J32" s="27">
        <f>SUM(J29:J31)</f>
        <v>1900</v>
      </c>
      <c r="K32" s="37"/>
      <c r="L32" s="75">
        <f>SUM(L29:L31)</f>
        <v>0</v>
      </c>
      <c r="M32" s="51">
        <v>4</v>
      </c>
      <c r="N32" s="51"/>
      <c r="O32" s="523" t="s">
        <v>692</v>
      </c>
      <c r="P32" s="27">
        <f>SUM(P29:P31)</f>
        <v>2550</v>
      </c>
      <c r="Q32" s="37"/>
      <c r="R32" s="75">
        <f>SUM(R29:R31)</f>
        <v>0</v>
      </c>
      <c r="S32" s="51">
        <v>4</v>
      </c>
      <c r="T32" s="51"/>
      <c r="U32" s="523" t="s">
        <v>692</v>
      </c>
      <c r="V32" s="27">
        <f>SUM(V29:V31)</f>
        <v>4150</v>
      </c>
      <c r="W32" s="28"/>
      <c r="X32" s="75">
        <f>SUM(X29:X31)</f>
        <v>0</v>
      </c>
      <c r="Y32" s="51">
        <v>4</v>
      </c>
      <c r="Z32" s="51"/>
      <c r="AA32" s="523" t="s">
        <v>692</v>
      </c>
      <c r="AB32" s="283">
        <f>SUM(AB29:AB31)</f>
        <v>0</v>
      </c>
      <c r="AC32" s="282"/>
      <c r="AD32" s="75">
        <f>SUM(AD29:AD31)</f>
        <v>0</v>
      </c>
      <c r="AE32" s="524">
        <f>D32+J32+P32+V32+AB32</f>
        <v>10350</v>
      </c>
    </row>
    <row r="33" spans="1:31" ht="16.2" customHeight="1">
      <c r="A33" s="51"/>
      <c r="B33" s="51"/>
      <c r="D33" s="1"/>
      <c r="G33" s="51"/>
      <c r="H33" s="51"/>
      <c r="J33" s="1"/>
      <c r="L33" s="233"/>
      <c r="M33" s="51"/>
      <c r="N33" s="51"/>
      <c r="O33" s="489"/>
      <c r="P33" s="489"/>
      <c r="Q33" s="224"/>
      <c r="R33" s="233"/>
      <c r="S33" s="51"/>
      <c r="T33" s="51"/>
      <c r="U33" s="489"/>
      <c r="V33" s="489"/>
      <c r="W33" s="224"/>
      <c r="X33" s="224"/>
      <c r="Y33" s="51"/>
      <c r="Z33" s="51"/>
      <c r="AA33" s="489"/>
      <c r="AB33" s="489"/>
      <c r="AC33" s="224"/>
      <c r="AD33" s="610" t="s">
        <v>692</v>
      </c>
      <c r="AE33" s="93">
        <f>A四条畷市折込部数+M四条畷市折込部数+S四条畷市折込部数+Y四条畷市折込部数+AD32</f>
        <v>0</v>
      </c>
    </row>
    <row r="34" spans="1:31" ht="16.2" customHeight="1">
      <c r="A34" s="51">
        <v>2</v>
      </c>
      <c r="B34" s="488" t="s">
        <v>1424</v>
      </c>
      <c r="C34" s="46" t="s">
        <v>1061</v>
      </c>
      <c r="D34"/>
      <c r="G34" s="51">
        <v>2</v>
      </c>
      <c r="H34" s="488" t="s">
        <v>1424</v>
      </c>
      <c r="J34"/>
      <c r="K34" s="15"/>
      <c r="M34" s="51">
        <v>2</v>
      </c>
      <c r="N34" s="488" t="s">
        <v>1424</v>
      </c>
      <c r="Q34" s="15"/>
      <c r="R34"/>
      <c r="S34" s="51">
        <v>2</v>
      </c>
      <c r="T34" s="488" t="s">
        <v>1424</v>
      </c>
      <c r="W34" s="15"/>
      <c r="X34"/>
      <c r="Y34" s="51">
        <v>2</v>
      </c>
      <c r="Z34" s="488" t="s">
        <v>1424</v>
      </c>
      <c r="AB34" s="15"/>
      <c r="AC34"/>
      <c r="AD34"/>
    </row>
    <row r="35" spans="1:31" ht="16.2" customHeight="1">
      <c r="A35" s="51">
        <v>3</v>
      </c>
      <c r="B35" s="51">
        <v>72285</v>
      </c>
      <c r="C35" s="441" t="s">
        <v>1124</v>
      </c>
      <c r="D35" s="148">
        <v>1800</v>
      </c>
      <c r="E35" s="155"/>
      <c r="F35" s="404"/>
      <c r="G35" s="51">
        <v>3</v>
      </c>
      <c r="H35" s="51">
        <v>73273</v>
      </c>
      <c r="I35" s="441" t="s">
        <v>1064</v>
      </c>
      <c r="J35" s="148">
        <v>1150</v>
      </c>
      <c r="K35" s="155"/>
      <c r="L35" s="404"/>
      <c r="M35" s="51">
        <v>3</v>
      </c>
      <c r="N35" s="51">
        <v>75299</v>
      </c>
      <c r="O35" s="441" t="s">
        <v>1079</v>
      </c>
      <c r="P35" s="148">
        <v>1000</v>
      </c>
      <c r="Q35" s="130"/>
      <c r="R35" s="404"/>
      <c r="S35" s="51">
        <v>3</v>
      </c>
      <c r="T35" s="51">
        <v>74359</v>
      </c>
      <c r="U35" s="441" t="s">
        <v>734</v>
      </c>
      <c r="V35" s="497" t="s">
        <v>1566</v>
      </c>
      <c r="W35" s="155"/>
      <c r="X35" s="404"/>
      <c r="Y35" s="51">
        <v>3</v>
      </c>
      <c r="Z35" s="51"/>
      <c r="AA35" s="688"/>
      <c r="AB35" s="511"/>
      <c r="AC35" s="130"/>
      <c r="AD35" s="541"/>
      <c r="AE35" s="513"/>
    </row>
    <row r="36" spans="1:31" ht="16.2" customHeight="1">
      <c r="A36" s="51">
        <v>3</v>
      </c>
      <c r="B36" s="51">
        <v>72287</v>
      </c>
      <c r="C36" s="386" t="s">
        <v>1598</v>
      </c>
      <c r="D36" s="143">
        <v>800</v>
      </c>
      <c r="E36" s="142"/>
      <c r="F36" s="405"/>
      <c r="G36" s="51">
        <v>3</v>
      </c>
      <c r="H36" s="51">
        <v>73275</v>
      </c>
      <c r="I36" s="386" t="s">
        <v>1065</v>
      </c>
      <c r="J36" s="143">
        <v>2000</v>
      </c>
      <c r="K36" s="142"/>
      <c r="L36" s="405"/>
      <c r="M36" s="51">
        <v>3</v>
      </c>
      <c r="N36" s="51">
        <v>75301</v>
      </c>
      <c r="O36" s="386" t="s">
        <v>1080</v>
      </c>
      <c r="P36" s="143">
        <v>1650</v>
      </c>
      <c r="Q36" s="168"/>
      <c r="R36" s="405"/>
      <c r="S36" s="51">
        <v>3</v>
      </c>
      <c r="T36" s="51">
        <v>74361</v>
      </c>
      <c r="U36" s="386" t="s">
        <v>1645</v>
      </c>
      <c r="V36" s="143">
        <v>4050</v>
      </c>
      <c r="W36" s="168"/>
      <c r="X36" s="405"/>
      <c r="Y36" s="51">
        <v>3</v>
      </c>
      <c r="Z36" s="51"/>
      <c r="AA36" s="561"/>
      <c r="AB36" s="515"/>
      <c r="AC36" s="168"/>
      <c r="AD36" s="550"/>
      <c r="AE36" s="516"/>
    </row>
    <row r="37" spans="1:31" ht="16.2" customHeight="1">
      <c r="A37" s="51">
        <v>3</v>
      </c>
      <c r="B37" s="51"/>
      <c r="C37" s="386"/>
      <c r="D37" s="446"/>
      <c r="E37" s="142"/>
      <c r="F37" s="405"/>
      <c r="G37" s="51">
        <v>3</v>
      </c>
      <c r="H37" s="51">
        <v>73279</v>
      </c>
      <c r="I37" s="386" t="s">
        <v>1063</v>
      </c>
      <c r="J37" s="143">
        <v>1700</v>
      </c>
      <c r="K37" s="142"/>
      <c r="L37" s="405"/>
      <c r="M37" s="51">
        <v>3</v>
      </c>
      <c r="N37" s="51">
        <v>75303</v>
      </c>
      <c r="O37" s="386" t="s">
        <v>1063</v>
      </c>
      <c r="P37" s="143">
        <v>1000</v>
      </c>
      <c r="Q37" s="168"/>
      <c r="R37" s="405"/>
      <c r="S37" s="51">
        <v>3</v>
      </c>
      <c r="T37" s="51">
        <v>74365</v>
      </c>
      <c r="U37" s="386" t="s">
        <v>1482</v>
      </c>
      <c r="V37" s="143">
        <v>1500</v>
      </c>
      <c r="W37" s="168"/>
      <c r="X37" s="405"/>
      <c r="Y37" s="51">
        <v>3</v>
      </c>
      <c r="Z37" s="51"/>
      <c r="AA37" s="561"/>
      <c r="AB37" s="515"/>
      <c r="AC37" s="168"/>
      <c r="AD37" s="550"/>
      <c r="AE37" s="516"/>
    </row>
    <row r="38" spans="1:31" ht="16.2" customHeight="1" thickBot="1">
      <c r="A38" s="51">
        <v>3</v>
      </c>
      <c r="B38" s="51"/>
      <c r="C38" s="694"/>
      <c r="D38" s="678"/>
      <c r="E38" s="277"/>
      <c r="F38" s="161"/>
      <c r="G38" s="51">
        <v>3</v>
      </c>
      <c r="H38" s="51"/>
      <c r="I38" s="386"/>
      <c r="J38" s="446"/>
      <c r="K38" s="168"/>
      <c r="L38" s="405"/>
      <c r="M38" s="51">
        <v>3</v>
      </c>
      <c r="N38" s="51"/>
      <c r="O38" s="694"/>
      <c r="P38" s="549"/>
      <c r="Q38" s="279"/>
      <c r="R38" s="161"/>
      <c r="S38" s="51">
        <v>3</v>
      </c>
      <c r="T38" s="51"/>
      <c r="U38" s="694"/>
      <c r="V38" s="549"/>
      <c r="W38" s="279"/>
      <c r="X38" s="161"/>
      <c r="Y38" s="51">
        <v>3</v>
      </c>
      <c r="Z38" s="51"/>
      <c r="AA38" s="695"/>
      <c r="AB38" s="549"/>
      <c r="AC38" s="279"/>
      <c r="AD38" s="717"/>
      <c r="AE38" s="516"/>
    </row>
    <row r="39" spans="1:31" ht="16.2" customHeight="1" thickTop="1">
      <c r="A39" s="51">
        <v>4</v>
      </c>
      <c r="B39" s="51"/>
      <c r="C39" s="523" t="s">
        <v>692</v>
      </c>
      <c r="D39" s="27">
        <f>SUM(D35:D38)</f>
        <v>2600</v>
      </c>
      <c r="E39" s="34"/>
      <c r="F39" s="75">
        <f>SUM(F35:F38)</f>
        <v>0</v>
      </c>
      <c r="G39" s="51">
        <v>4</v>
      </c>
      <c r="H39" s="51"/>
      <c r="I39" s="523" t="s">
        <v>692</v>
      </c>
      <c r="J39" s="27">
        <f>SUM(J35:J38)</f>
        <v>4850</v>
      </c>
      <c r="K39" s="37"/>
      <c r="L39" s="75">
        <f>SUM(L35:L38)</f>
        <v>0</v>
      </c>
      <c r="M39" s="51">
        <v>4</v>
      </c>
      <c r="N39" s="51"/>
      <c r="O39" s="523" t="s">
        <v>692</v>
      </c>
      <c r="P39" s="27">
        <f>SUM(P35:P38)</f>
        <v>3650</v>
      </c>
      <c r="Q39" s="37"/>
      <c r="R39" s="75">
        <f>SUM(R35:R38)</f>
        <v>0</v>
      </c>
      <c r="S39" s="51">
        <v>4</v>
      </c>
      <c r="T39" s="51"/>
      <c r="U39" s="523" t="s">
        <v>692</v>
      </c>
      <c r="V39" s="27">
        <f>SUM(V35:V38)</f>
        <v>5550</v>
      </c>
      <c r="W39" s="37"/>
      <c r="X39" s="75">
        <f>SUM(X35:X38)</f>
        <v>0</v>
      </c>
      <c r="Y39" s="51">
        <v>4</v>
      </c>
      <c r="Z39" s="51"/>
      <c r="AA39" s="523" t="s">
        <v>692</v>
      </c>
      <c r="AB39" s="522">
        <f>SUM(AB35:AB38)</f>
        <v>0</v>
      </c>
      <c r="AC39" s="37"/>
      <c r="AD39" s="689">
        <f>SUM(AD35:AD38)</f>
        <v>0</v>
      </c>
      <c r="AE39" s="524">
        <f>D39+J39+P39+V39+AB39</f>
        <v>16650</v>
      </c>
    </row>
    <row r="40" spans="1:31" ht="16.2" customHeight="1">
      <c r="A40" s="51">
        <v>9</v>
      </c>
      <c r="B40" s="51"/>
      <c r="C40" s="526"/>
      <c r="D40" s="210"/>
      <c r="E40" s="228"/>
      <c r="F40" s="229"/>
      <c r="G40" s="51">
        <v>9</v>
      </c>
      <c r="H40" s="51"/>
      <c r="I40" s="526"/>
      <c r="J40" s="210"/>
      <c r="K40" s="230"/>
      <c r="L40" s="231"/>
      <c r="M40" s="51">
        <v>9</v>
      </c>
      <c r="N40" s="51"/>
      <c r="O40" s="526"/>
      <c r="P40" s="526"/>
      <c r="Q40" s="230"/>
      <c r="R40" s="229"/>
      <c r="S40" s="51">
        <v>9</v>
      </c>
      <c r="T40" s="51"/>
      <c r="U40" s="526"/>
      <c r="V40" s="526"/>
      <c r="W40" s="230"/>
      <c r="X40" s="229"/>
      <c r="Y40" s="51">
        <v>9</v>
      </c>
      <c r="Z40" s="51"/>
      <c r="AA40" s="526"/>
      <c r="AB40" s="526"/>
      <c r="AC40" s="36"/>
      <c r="AD40" s="527" t="s">
        <v>692</v>
      </c>
      <c r="AE40" s="93">
        <f>A大東市折込部数+M大東市折込部数+S大東市折込部数+Y大東市折込部数+AD39</f>
        <v>0</v>
      </c>
    </row>
    <row r="41" spans="1:31" ht="16.2" customHeight="1">
      <c r="C41" s="489"/>
      <c r="D41" s="298"/>
      <c r="E41" s="217"/>
      <c r="F41" s="224"/>
      <c r="G41" s="224"/>
      <c r="H41" s="224"/>
      <c r="I41" s="489"/>
      <c r="J41" s="298"/>
      <c r="K41" s="224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1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D92" s="1"/>
      <c r="J92" s="1"/>
    </row>
    <row r="93" spans="3:31" ht="16.2" customHeight="1">
      <c r="D93" s="1"/>
      <c r="J93" s="1"/>
    </row>
    <row r="94" spans="3:31" ht="16.2" customHeight="1">
      <c r="D94" s="1"/>
      <c r="J94" s="1"/>
    </row>
    <row r="95" spans="3:31" ht="16.2" customHeight="1">
      <c r="D95" s="1"/>
      <c r="J95" s="1"/>
    </row>
    <row r="96" spans="3:31" ht="16.2" customHeight="1">
      <c r="D96" s="1"/>
      <c r="J96" s="1"/>
    </row>
    <row r="97" spans="4:10" ht="16.2" customHeight="1">
      <c r="D97" s="1"/>
      <c r="J97" s="1"/>
    </row>
    <row r="98" spans="4:10" ht="16.2" customHeight="1">
      <c r="D98" s="1"/>
      <c r="J98" s="1"/>
    </row>
    <row r="99" spans="4:10" ht="16.2" customHeight="1">
      <c r="D99" s="1"/>
      <c r="J99" s="1"/>
    </row>
    <row r="100" spans="4:10" ht="16.2" customHeight="1">
      <c r="D100" s="1"/>
      <c r="J100" s="1"/>
    </row>
    <row r="101" spans="4:10" ht="16.2" customHeight="1">
      <c r="D101" s="1"/>
      <c r="J101" s="1"/>
    </row>
    <row r="102" spans="4:10" ht="16.2" customHeight="1">
      <c r="D102" s="1"/>
      <c r="J102" s="1"/>
    </row>
    <row r="103" spans="4:10" ht="16.2" customHeight="1">
      <c r="D103" s="1"/>
      <c r="J103" s="1"/>
    </row>
    <row r="104" spans="4:10" ht="16.2" customHeight="1">
      <c r="D104" s="1"/>
      <c r="J104" s="1"/>
    </row>
    <row r="105" spans="4:10" ht="16.2" customHeight="1">
      <c r="D105" s="1"/>
      <c r="J105" s="1"/>
    </row>
    <row r="106" spans="4:10" ht="16.2" customHeight="1">
      <c r="D106" s="1"/>
      <c r="J106" s="1"/>
    </row>
    <row r="107" spans="4:10" ht="16.2" customHeight="1">
      <c r="D107" s="1"/>
      <c r="J107" s="1"/>
    </row>
    <row r="108" spans="4:10" ht="16.2" customHeight="1">
      <c r="D108" s="1"/>
      <c r="J108" s="1"/>
    </row>
    <row r="109" spans="4:10" ht="16.2" customHeight="1">
      <c r="D109" s="1"/>
      <c r="J109" s="1"/>
    </row>
    <row r="110" spans="4:10" ht="16.2" customHeight="1">
      <c r="D110" s="1"/>
      <c r="J110" s="1"/>
    </row>
    <row r="111" spans="4:10" ht="16.2" customHeight="1">
      <c r="D111" s="1"/>
      <c r="J111" s="1"/>
    </row>
    <row r="112" spans="4:10" ht="16.2" customHeight="1">
      <c r="D112" s="1"/>
      <c r="J112" s="1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  <row r="520" spans="4:10" ht="16.2" customHeight="1">
      <c r="D520" s="1"/>
      <c r="J520" s="1"/>
    </row>
    <row r="521" spans="4:10" ht="16.2" customHeight="1">
      <c r="D521" s="1"/>
      <c r="J521" s="1"/>
    </row>
  </sheetData>
  <sheetProtection formatCells="0"/>
  <mergeCells count="14">
    <mergeCell ref="C2:F3"/>
    <mergeCell ref="D5:L6"/>
    <mergeCell ref="W5:X5"/>
    <mergeCell ref="P5:V6"/>
    <mergeCell ref="AA5:AC6"/>
    <mergeCell ref="D7:L8"/>
    <mergeCell ref="C10:F10"/>
    <mergeCell ref="I10:L10"/>
    <mergeCell ref="AA10:AD10"/>
    <mergeCell ref="W7:X7"/>
    <mergeCell ref="O10:R10"/>
    <mergeCell ref="U10:X10"/>
    <mergeCell ref="P7:Q8"/>
    <mergeCell ref="AA7:AE8"/>
  </mergeCells>
  <phoneticPr fontId="2"/>
  <conditionalFormatting sqref="F13:F16 L13:L16 X22:X24 R22:R24 L22:L23 F22:F23 F29:F30 L29:L30 R29:R30 X29:X30 R35:R37 F35:F37 R13:R17 X13:X17 X35:X37 L35:L38">
    <cfRule type="cellIs" dxfId="26" priority="1" operator="greaterThan">
      <formula>D13</formula>
    </cfRule>
  </conditionalFormatting>
  <hyperlinks>
    <hyperlink ref="C2:F3" location="提案表紙!A1" display="大阪府折込資料表" xr:uid="{00000000-0004-0000-14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9" orientation="landscape" horizontalDpi="300" verticalDpi="300" r:id="rId1"/>
  <headerFooter alignWithMargins="0">
    <oddFooter>&amp;L守口市・交野市・四条畷市・大東市
&amp;RP-17/34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tabColor rgb="FFB6D2F5"/>
    <pageSetUpPr fitToPage="1"/>
  </sheetPr>
  <dimension ref="A1:AE518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4414062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45706</v>
      </c>
      <c r="J4" s="186" t="s">
        <v>0</v>
      </c>
      <c r="K4" t="s">
        <v>1058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1059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1060</v>
      </c>
      <c r="P7" s="827">
        <f>提案表紙!G9</f>
        <v>0</v>
      </c>
      <c r="Q7" s="828"/>
      <c r="R7" s="7" t="s">
        <v>676</v>
      </c>
      <c r="S7"/>
      <c r="T7"/>
      <c r="U7" s="410">
        <f>東大阪市折込部数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1425</v>
      </c>
      <c r="C12" s="46" t="s">
        <v>693</v>
      </c>
      <c r="D12" s="12"/>
      <c r="E12" s="32"/>
      <c r="F12" s="223"/>
      <c r="G12" s="51">
        <v>2</v>
      </c>
      <c r="H12" s="488" t="s">
        <v>1425</v>
      </c>
      <c r="I12" s="464"/>
      <c r="J12" s="211"/>
      <c r="K12" s="232"/>
      <c r="L12" s="223"/>
      <c r="M12" s="51">
        <v>2</v>
      </c>
      <c r="N12" s="488" t="s">
        <v>1425</v>
      </c>
      <c r="O12" s="464"/>
      <c r="P12" s="464"/>
      <c r="Q12" s="232"/>
      <c r="R12" s="223"/>
      <c r="S12" s="51">
        <v>2</v>
      </c>
      <c r="T12" s="488" t="s">
        <v>1425</v>
      </c>
      <c r="U12" s="464"/>
      <c r="V12" s="464"/>
      <c r="W12" s="232"/>
      <c r="X12" s="223"/>
      <c r="Y12" s="51">
        <v>2</v>
      </c>
      <c r="Z12" s="488" t="s">
        <v>1425</v>
      </c>
      <c r="AA12" s="464"/>
      <c r="AB12" s="464"/>
      <c r="AC12" s="35"/>
      <c r="AD12" s="16"/>
      <c r="AE12" s="11"/>
    </row>
    <row r="13" spans="1:31" ht="16.2" customHeight="1">
      <c r="A13" s="51">
        <v>3</v>
      </c>
      <c r="B13" s="51">
        <v>72293</v>
      </c>
      <c r="C13" s="441" t="s">
        <v>694</v>
      </c>
      <c r="D13" s="352">
        <v>1350</v>
      </c>
      <c r="E13" s="142"/>
      <c r="F13" s="404"/>
      <c r="G13" s="51">
        <v>3</v>
      </c>
      <c r="H13" s="51">
        <v>73283</v>
      </c>
      <c r="I13" s="691" t="s">
        <v>1062</v>
      </c>
      <c r="J13" s="148">
        <v>1750</v>
      </c>
      <c r="K13" s="142"/>
      <c r="L13" s="404"/>
      <c r="M13" s="51">
        <v>3</v>
      </c>
      <c r="N13" s="51">
        <v>75305</v>
      </c>
      <c r="O13" s="691" t="s">
        <v>1062</v>
      </c>
      <c r="P13" s="148">
        <v>2050</v>
      </c>
      <c r="Q13" s="142"/>
      <c r="R13" s="404"/>
      <c r="S13" s="51">
        <v>3</v>
      </c>
      <c r="T13" s="51">
        <v>74367</v>
      </c>
      <c r="U13" s="691" t="s">
        <v>699</v>
      </c>
      <c r="V13" s="148">
        <v>2850</v>
      </c>
      <c r="W13" s="142"/>
      <c r="X13" s="404"/>
      <c r="Y13" s="51">
        <v>3</v>
      </c>
      <c r="Z13" s="51"/>
      <c r="AA13" s="688"/>
      <c r="AB13" s="511"/>
      <c r="AC13" s="170"/>
      <c r="AD13" s="171"/>
      <c r="AE13" s="513"/>
    </row>
    <row r="14" spans="1:31" ht="16.2" customHeight="1">
      <c r="A14" s="51">
        <v>3</v>
      </c>
      <c r="B14" s="51">
        <v>72295</v>
      </c>
      <c r="C14" s="691" t="s">
        <v>710</v>
      </c>
      <c r="D14" s="352">
        <v>1600</v>
      </c>
      <c r="E14" s="165"/>
      <c r="F14" s="405"/>
      <c r="G14" s="51">
        <v>3</v>
      </c>
      <c r="H14" s="51">
        <v>73285</v>
      </c>
      <c r="I14" s="691" t="s">
        <v>699</v>
      </c>
      <c r="J14" s="352">
        <v>1000</v>
      </c>
      <c r="K14" s="165"/>
      <c r="L14" s="405"/>
      <c r="M14" s="51">
        <v>3</v>
      </c>
      <c r="N14" s="51">
        <v>75307</v>
      </c>
      <c r="O14" s="691" t="s">
        <v>1108</v>
      </c>
      <c r="P14" s="352">
        <v>3900</v>
      </c>
      <c r="Q14" s="165"/>
      <c r="R14" s="405"/>
      <c r="S14" s="51">
        <v>3</v>
      </c>
      <c r="T14" s="51">
        <v>74369</v>
      </c>
      <c r="U14" s="691" t="s">
        <v>709</v>
      </c>
      <c r="V14" s="352">
        <v>1650</v>
      </c>
      <c r="W14" s="142"/>
      <c r="X14" s="405"/>
      <c r="Y14" s="51">
        <v>3</v>
      </c>
      <c r="Z14" s="51"/>
      <c r="AA14" s="667"/>
      <c r="AB14" s="543"/>
      <c r="AC14" s="172"/>
      <c r="AD14" s="173"/>
      <c r="AE14" s="516"/>
    </row>
    <row r="15" spans="1:31" ht="16.2" customHeight="1">
      <c r="A15" s="51">
        <v>3</v>
      </c>
      <c r="B15" s="51">
        <v>72296</v>
      </c>
      <c r="C15" s="692" t="s">
        <v>1471</v>
      </c>
      <c r="D15" s="226">
        <v>1100</v>
      </c>
      <c r="E15" s="165"/>
      <c r="F15" s="405"/>
      <c r="G15" s="51">
        <v>3</v>
      </c>
      <c r="H15" s="51">
        <v>73287</v>
      </c>
      <c r="I15" s="691" t="s">
        <v>700</v>
      </c>
      <c r="J15" s="352">
        <v>1600</v>
      </c>
      <c r="K15" s="165"/>
      <c r="L15" s="405"/>
      <c r="M15" s="51">
        <v>3</v>
      </c>
      <c r="N15" s="51">
        <v>75309</v>
      </c>
      <c r="O15" s="691" t="s">
        <v>695</v>
      </c>
      <c r="P15" s="352">
        <v>2200</v>
      </c>
      <c r="Q15" s="165"/>
      <c r="R15" s="405"/>
      <c r="S15" s="51">
        <v>3</v>
      </c>
      <c r="T15" s="51">
        <v>74371</v>
      </c>
      <c r="U15" s="691" t="s">
        <v>1522</v>
      </c>
      <c r="V15" s="352">
        <v>2600</v>
      </c>
      <c r="W15" s="142"/>
      <c r="X15" s="405"/>
      <c r="Y15" s="51">
        <v>3</v>
      </c>
      <c r="Z15" s="51"/>
      <c r="AA15" s="667"/>
      <c r="AB15" s="543"/>
      <c r="AC15" s="172"/>
      <c r="AD15" s="173"/>
      <c r="AE15" s="516"/>
    </row>
    <row r="16" spans="1:31" ht="16.2" customHeight="1">
      <c r="A16" s="51">
        <v>3</v>
      </c>
      <c r="B16" s="51">
        <v>72299</v>
      </c>
      <c r="C16" s="691" t="s">
        <v>696</v>
      </c>
      <c r="D16" s="352">
        <v>1550</v>
      </c>
      <c r="E16" s="165"/>
      <c r="F16" s="405"/>
      <c r="G16" s="51">
        <v>3</v>
      </c>
      <c r="H16" s="51">
        <v>73289</v>
      </c>
      <c r="I16" s="691" t="s">
        <v>1070</v>
      </c>
      <c r="J16" s="352">
        <v>1700</v>
      </c>
      <c r="K16" s="165"/>
      <c r="L16" s="405"/>
      <c r="M16" s="51">
        <v>3</v>
      </c>
      <c r="N16" s="51">
        <v>75311</v>
      </c>
      <c r="O16" s="691" t="s">
        <v>704</v>
      </c>
      <c r="P16" s="352">
        <v>1000</v>
      </c>
      <c r="Q16" s="165"/>
      <c r="R16" s="405"/>
      <c r="S16" s="51">
        <v>3</v>
      </c>
      <c r="T16" s="51">
        <v>74373</v>
      </c>
      <c r="U16" s="691" t="s">
        <v>694</v>
      </c>
      <c r="V16" s="352">
        <v>1200</v>
      </c>
      <c r="W16" s="142"/>
      <c r="X16" s="405"/>
      <c r="Y16" s="51">
        <v>3</v>
      </c>
      <c r="Z16" s="51"/>
      <c r="AA16" s="667"/>
      <c r="AB16" s="543"/>
      <c r="AC16" s="172"/>
      <c r="AD16" s="173"/>
      <c r="AE16" s="516"/>
    </row>
    <row r="17" spans="1:31" ht="16.2" customHeight="1">
      <c r="A17" s="51">
        <v>3</v>
      </c>
      <c r="B17" s="51">
        <v>72301</v>
      </c>
      <c r="C17" s="691" t="s">
        <v>1599</v>
      </c>
      <c r="D17" s="352">
        <v>1050</v>
      </c>
      <c r="E17" s="165"/>
      <c r="F17" s="405"/>
      <c r="G17" s="51">
        <v>3</v>
      </c>
      <c r="H17" s="51">
        <v>73291</v>
      </c>
      <c r="I17" s="722" t="s">
        <v>1464</v>
      </c>
      <c r="J17" s="352">
        <v>3250</v>
      </c>
      <c r="K17" s="165"/>
      <c r="L17" s="405"/>
      <c r="M17" s="51">
        <v>3</v>
      </c>
      <c r="N17" s="51">
        <v>75313</v>
      </c>
      <c r="O17" s="691" t="s">
        <v>705</v>
      </c>
      <c r="P17" s="352">
        <v>650</v>
      </c>
      <c r="Q17" s="165"/>
      <c r="R17" s="405"/>
      <c r="S17" s="51">
        <v>3</v>
      </c>
      <c r="T17" s="51">
        <v>74375</v>
      </c>
      <c r="U17" s="691" t="s">
        <v>1110</v>
      </c>
      <c r="V17" s="352">
        <v>800</v>
      </c>
      <c r="W17" s="142"/>
      <c r="X17" s="405"/>
      <c r="Y17" s="51">
        <v>3</v>
      </c>
      <c r="Z17" s="51"/>
      <c r="AA17" s="667"/>
      <c r="AB17" s="543"/>
      <c r="AC17" s="172"/>
      <c r="AD17" s="173"/>
      <c r="AE17" s="516"/>
    </row>
    <row r="18" spans="1:31" ht="16.2" customHeight="1">
      <c r="A18" s="51">
        <v>3</v>
      </c>
      <c r="B18" s="51">
        <v>72303</v>
      </c>
      <c r="C18" s="691" t="s">
        <v>1083</v>
      </c>
      <c r="D18" s="352">
        <v>2400</v>
      </c>
      <c r="E18" s="165"/>
      <c r="F18" s="405"/>
      <c r="G18" s="51">
        <v>3</v>
      </c>
      <c r="H18" s="51">
        <v>73293</v>
      </c>
      <c r="I18" s="691" t="s">
        <v>1330</v>
      </c>
      <c r="J18" s="352">
        <v>1400</v>
      </c>
      <c r="K18" s="165"/>
      <c r="L18" s="405"/>
      <c r="M18" s="51">
        <v>3</v>
      </c>
      <c r="N18" s="51">
        <v>75314</v>
      </c>
      <c r="O18" s="691" t="s">
        <v>1461</v>
      </c>
      <c r="P18" s="352">
        <v>350</v>
      </c>
      <c r="Q18" s="165"/>
      <c r="R18" s="405"/>
      <c r="S18" s="51">
        <v>3</v>
      </c>
      <c r="T18" s="51">
        <v>74377</v>
      </c>
      <c r="U18" s="723" t="s">
        <v>710</v>
      </c>
      <c r="V18" s="352">
        <v>2350</v>
      </c>
      <c r="W18" s="142"/>
      <c r="X18" s="405"/>
      <c r="Y18" s="51">
        <v>3</v>
      </c>
      <c r="Z18" s="51"/>
      <c r="AA18" s="667"/>
      <c r="AB18" s="543"/>
      <c r="AC18" s="172"/>
      <c r="AD18" s="173"/>
      <c r="AE18" s="516"/>
    </row>
    <row r="19" spans="1:31" ht="16.2" customHeight="1">
      <c r="A19" s="51">
        <v>3</v>
      </c>
      <c r="B19" s="51">
        <v>72307</v>
      </c>
      <c r="C19" s="691" t="s">
        <v>1492</v>
      </c>
      <c r="D19" s="352">
        <v>2200</v>
      </c>
      <c r="E19" s="165"/>
      <c r="F19" s="405"/>
      <c r="G19" s="51">
        <v>3</v>
      </c>
      <c r="H19" s="51">
        <v>73297</v>
      </c>
      <c r="I19" s="691" t="s">
        <v>701</v>
      </c>
      <c r="J19" s="352">
        <v>1800</v>
      </c>
      <c r="K19" s="165"/>
      <c r="L19" s="405"/>
      <c r="M19" s="51">
        <v>3</v>
      </c>
      <c r="N19" s="51">
        <v>75315</v>
      </c>
      <c r="O19" s="691" t="s">
        <v>701</v>
      </c>
      <c r="P19" s="352">
        <v>1850</v>
      </c>
      <c r="Q19" s="165"/>
      <c r="R19" s="405"/>
      <c r="S19" s="51">
        <v>3</v>
      </c>
      <c r="T19" s="51">
        <v>74381</v>
      </c>
      <c r="U19" s="445" t="s">
        <v>1459</v>
      </c>
      <c r="V19" s="352">
        <v>2050</v>
      </c>
      <c r="W19" s="142"/>
      <c r="X19" s="405"/>
      <c r="Y19" s="51">
        <v>3</v>
      </c>
      <c r="Z19" s="51"/>
      <c r="AA19" s="667"/>
      <c r="AB19" s="543"/>
      <c r="AC19" s="172"/>
      <c r="AD19" s="173"/>
      <c r="AE19" s="516"/>
    </row>
    <row r="20" spans="1:31" ht="16.2" customHeight="1">
      <c r="A20" s="51">
        <v>3</v>
      </c>
      <c r="B20" s="51">
        <v>72308</v>
      </c>
      <c r="C20" s="691" t="s">
        <v>1601</v>
      </c>
      <c r="D20" s="352">
        <v>950</v>
      </c>
      <c r="E20" s="165"/>
      <c r="F20" s="405"/>
      <c r="G20" s="51">
        <v>3</v>
      </c>
      <c r="H20" s="51">
        <v>73299</v>
      </c>
      <c r="I20" s="691" t="s">
        <v>702</v>
      </c>
      <c r="J20" s="352">
        <v>850</v>
      </c>
      <c r="K20" s="165"/>
      <c r="L20" s="405"/>
      <c r="M20" s="51">
        <v>3</v>
      </c>
      <c r="N20" s="51">
        <v>75317</v>
      </c>
      <c r="O20" s="691" t="s">
        <v>706</v>
      </c>
      <c r="P20" s="352">
        <v>400</v>
      </c>
      <c r="Q20" s="165"/>
      <c r="R20" s="405"/>
      <c r="S20" s="51">
        <v>3</v>
      </c>
      <c r="T20" s="51">
        <v>74383</v>
      </c>
      <c r="U20" s="691" t="s">
        <v>1246</v>
      </c>
      <c r="V20" s="352">
        <v>2700</v>
      </c>
      <c r="W20" s="142"/>
      <c r="X20" s="405"/>
      <c r="Y20" s="51">
        <v>3</v>
      </c>
      <c r="Z20" s="51"/>
      <c r="AA20" s="667"/>
      <c r="AB20" s="543"/>
      <c r="AC20" s="172"/>
      <c r="AD20" s="173"/>
      <c r="AE20" s="516"/>
    </row>
    <row r="21" spans="1:31" ht="16.2" customHeight="1">
      <c r="A21" s="51">
        <v>3</v>
      </c>
      <c r="B21" s="51"/>
      <c r="C21" s="691"/>
      <c r="D21" s="352"/>
      <c r="E21" s="165"/>
      <c r="F21" s="405"/>
      <c r="G21" s="51">
        <v>3</v>
      </c>
      <c r="H21" s="51">
        <v>73301</v>
      </c>
      <c r="I21" s="691" t="s">
        <v>703</v>
      </c>
      <c r="J21" s="352">
        <v>1100</v>
      </c>
      <c r="K21" s="165"/>
      <c r="L21" s="405"/>
      <c r="M21" s="51">
        <v>3</v>
      </c>
      <c r="N21" s="51">
        <v>75319</v>
      </c>
      <c r="O21" s="691" t="s">
        <v>698</v>
      </c>
      <c r="P21" s="352">
        <v>2950</v>
      </c>
      <c r="Q21" s="165"/>
      <c r="R21" s="405"/>
      <c r="S21" s="51">
        <v>3</v>
      </c>
      <c r="T21" s="51">
        <v>74385</v>
      </c>
      <c r="U21" s="691" t="s">
        <v>711</v>
      </c>
      <c r="V21" s="352">
        <v>500</v>
      </c>
      <c r="W21" s="142"/>
      <c r="X21" s="405"/>
      <c r="Y21" s="51">
        <v>3</v>
      </c>
      <c r="Z21" s="51"/>
      <c r="AA21" s="667"/>
      <c r="AB21" s="543"/>
      <c r="AC21" s="172"/>
      <c r="AD21" s="173"/>
      <c r="AE21" s="516"/>
    </row>
    <row r="22" spans="1:31" ht="16.2" customHeight="1">
      <c r="A22" s="51">
        <v>3</v>
      </c>
      <c r="B22" s="51"/>
      <c r="C22" s="691"/>
      <c r="D22" s="352"/>
      <c r="E22" s="165"/>
      <c r="F22" s="405"/>
      <c r="G22" s="51">
        <v>3</v>
      </c>
      <c r="H22" s="51"/>
      <c r="I22" s="691"/>
      <c r="J22" s="493"/>
      <c r="K22" s="165"/>
      <c r="L22" s="405"/>
      <c r="M22" s="51">
        <v>3</v>
      </c>
      <c r="N22" s="51">
        <v>75321</v>
      </c>
      <c r="O22" s="691" t="s">
        <v>707</v>
      </c>
      <c r="P22" s="352">
        <v>1300</v>
      </c>
      <c r="Q22" s="165"/>
      <c r="R22" s="405"/>
      <c r="S22" s="51">
        <v>3</v>
      </c>
      <c r="T22" s="51">
        <v>74387</v>
      </c>
      <c r="U22" s="691" t="s">
        <v>1496</v>
      </c>
      <c r="V22" s="352">
        <v>800</v>
      </c>
      <c r="W22" s="142"/>
      <c r="X22" s="405"/>
      <c r="Y22" s="51">
        <v>3</v>
      </c>
      <c r="Z22" s="51"/>
      <c r="AA22" s="667"/>
      <c r="AB22" s="543"/>
      <c r="AC22" s="172"/>
      <c r="AD22" s="173"/>
      <c r="AE22" s="516"/>
    </row>
    <row r="23" spans="1:31" ht="16.2" customHeight="1">
      <c r="A23" s="51">
        <v>3</v>
      </c>
      <c r="B23" s="51"/>
      <c r="C23" s="691"/>
      <c r="D23" s="352"/>
      <c r="E23" s="165"/>
      <c r="F23" s="157"/>
      <c r="G23" s="51">
        <v>3</v>
      </c>
      <c r="H23" s="51"/>
      <c r="I23" s="691"/>
      <c r="J23" s="352"/>
      <c r="K23" s="165"/>
      <c r="L23" s="405"/>
      <c r="M23" s="51">
        <v>3</v>
      </c>
      <c r="N23" s="51">
        <v>75323</v>
      </c>
      <c r="O23" s="691" t="s">
        <v>1258</v>
      </c>
      <c r="P23" s="352">
        <v>1000</v>
      </c>
      <c r="Q23" s="165"/>
      <c r="R23" s="405"/>
      <c r="S23" s="51">
        <v>3</v>
      </c>
      <c r="T23" s="51">
        <v>74389</v>
      </c>
      <c r="U23" s="691" t="s">
        <v>704</v>
      </c>
      <c r="V23" s="352">
        <v>2500</v>
      </c>
      <c r="W23" s="142"/>
      <c r="X23" s="405"/>
      <c r="Y23" s="51">
        <v>3</v>
      </c>
      <c r="Z23" s="51"/>
      <c r="AA23" s="667"/>
      <c r="AB23" s="543"/>
      <c r="AC23" s="172"/>
      <c r="AD23" s="173"/>
      <c r="AE23" s="516"/>
    </row>
    <row r="24" spans="1:31" ht="16.2" customHeight="1">
      <c r="A24" s="51">
        <v>3</v>
      </c>
      <c r="B24" s="51"/>
      <c r="C24" s="692"/>
      <c r="D24" s="226"/>
      <c r="E24" s="165"/>
      <c r="F24" s="157"/>
      <c r="G24" s="51">
        <v>3</v>
      </c>
      <c r="H24" s="51"/>
      <c r="I24" s="691"/>
      <c r="J24" s="352"/>
      <c r="K24" s="165"/>
      <c r="L24" s="405"/>
      <c r="M24" s="51">
        <v>3</v>
      </c>
      <c r="N24" s="51">
        <v>75325</v>
      </c>
      <c r="O24" s="691" t="s">
        <v>697</v>
      </c>
      <c r="P24" s="352">
        <v>400</v>
      </c>
      <c r="Q24" s="165"/>
      <c r="R24" s="405"/>
      <c r="S24" s="51">
        <v>3</v>
      </c>
      <c r="T24" s="51">
        <v>74393</v>
      </c>
      <c r="U24" s="691" t="s">
        <v>1512</v>
      </c>
      <c r="V24" s="143">
        <v>2950</v>
      </c>
      <c r="W24" s="142"/>
      <c r="X24" s="405"/>
      <c r="Y24" s="51">
        <v>3</v>
      </c>
      <c r="Z24" s="51"/>
      <c r="AA24" s="667"/>
      <c r="AB24" s="543"/>
      <c r="AC24" s="172"/>
      <c r="AD24" s="173"/>
      <c r="AE24" s="516"/>
    </row>
    <row r="25" spans="1:31" ht="16.2" customHeight="1">
      <c r="A25" s="51">
        <v>3</v>
      </c>
      <c r="B25" s="51"/>
      <c r="C25" s="561"/>
      <c r="D25" s="226"/>
      <c r="E25" s="165"/>
      <c r="F25" s="157"/>
      <c r="G25" s="51">
        <v>3</v>
      </c>
      <c r="H25" s="51"/>
      <c r="I25" s="691"/>
      <c r="J25" s="352"/>
      <c r="K25" s="165"/>
      <c r="L25" s="405"/>
      <c r="M25" s="51">
        <v>3</v>
      </c>
      <c r="N25" s="51">
        <v>75327</v>
      </c>
      <c r="O25" s="691" t="s">
        <v>708</v>
      </c>
      <c r="P25" s="352">
        <v>500</v>
      </c>
      <c r="Q25" s="165"/>
      <c r="R25" s="405"/>
      <c r="S25" s="51">
        <v>3</v>
      </c>
      <c r="T25" s="51">
        <v>74397</v>
      </c>
      <c r="U25" s="691" t="s">
        <v>712</v>
      </c>
      <c r="V25" s="143">
        <v>650</v>
      </c>
      <c r="W25" s="142"/>
      <c r="X25" s="405"/>
      <c r="Y25" s="51">
        <v>3</v>
      </c>
      <c r="Z25" s="51"/>
      <c r="AA25" s="667"/>
      <c r="AB25" s="543"/>
      <c r="AC25" s="172"/>
      <c r="AD25" s="173"/>
      <c r="AE25" s="516"/>
    </row>
    <row r="26" spans="1:31" ht="16.2" customHeight="1">
      <c r="A26" s="51">
        <v>3</v>
      </c>
      <c r="B26" s="51"/>
      <c r="C26" s="692"/>
      <c r="D26" s="226"/>
      <c r="E26" s="165"/>
      <c r="F26" s="157"/>
      <c r="G26" s="51">
        <v>3</v>
      </c>
      <c r="H26" s="51"/>
      <c r="I26" s="692"/>
      <c r="J26" s="226"/>
      <c r="K26" s="165"/>
      <c r="L26" s="157"/>
      <c r="M26" s="51">
        <v>3</v>
      </c>
      <c r="N26" s="51">
        <v>75329</v>
      </c>
      <c r="O26" s="691" t="s">
        <v>1070</v>
      </c>
      <c r="P26" s="352">
        <v>1900</v>
      </c>
      <c r="Q26" s="165"/>
      <c r="R26" s="405"/>
      <c r="S26" s="51">
        <v>3</v>
      </c>
      <c r="T26" s="51"/>
      <c r="U26" s="724"/>
      <c r="V26" s="493"/>
      <c r="W26" s="142"/>
      <c r="X26" s="405"/>
      <c r="Y26" s="51">
        <v>3</v>
      </c>
      <c r="Z26" s="51"/>
      <c r="AA26" s="667"/>
      <c r="AB26" s="543"/>
      <c r="AC26" s="172"/>
      <c r="AD26" s="173"/>
      <c r="AE26" s="516"/>
    </row>
    <row r="27" spans="1:31" ht="16.2" customHeight="1">
      <c r="A27" s="51">
        <v>3</v>
      </c>
      <c r="B27" s="51"/>
      <c r="C27" s="692"/>
      <c r="D27" s="226"/>
      <c r="E27" s="165"/>
      <c r="F27" s="157"/>
      <c r="G27" s="51">
        <v>3</v>
      </c>
      <c r="H27" s="51"/>
      <c r="I27" s="692"/>
      <c r="J27" s="226"/>
      <c r="K27" s="165"/>
      <c r="L27" s="157"/>
      <c r="M27" s="51">
        <v>3</v>
      </c>
      <c r="N27" s="51">
        <v>75331</v>
      </c>
      <c r="O27" s="692" t="s">
        <v>1262</v>
      </c>
      <c r="P27" s="226">
        <v>500</v>
      </c>
      <c r="Q27" s="165"/>
      <c r="R27" s="157"/>
      <c r="S27" s="51">
        <v>3</v>
      </c>
      <c r="T27" s="51"/>
      <c r="U27" s="691"/>
      <c r="V27" s="143"/>
      <c r="W27" s="142"/>
      <c r="X27" s="405"/>
      <c r="Y27" s="51">
        <v>3</v>
      </c>
      <c r="Z27" s="51"/>
      <c r="AA27" s="667"/>
      <c r="AB27" s="543"/>
      <c r="AC27" s="172"/>
      <c r="AD27" s="173"/>
      <c r="AE27" s="516"/>
    </row>
    <row r="28" spans="1:31" ht="16.2" customHeight="1">
      <c r="A28" s="51">
        <v>3</v>
      </c>
      <c r="B28" s="51"/>
      <c r="C28" s="692"/>
      <c r="D28" s="226"/>
      <c r="E28" s="156"/>
      <c r="F28" s="157"/>
      <c r="G28" s="51">
        <v>3</v>
      </c>
      <c r="H28" s="51"/>
      <c r="I28" s="692"/>
      <c r="J28" s="226"/>
      <c r="K28" s="156"/>
      <c r="L28" s="157"/>
      <c r="M28" s="51">
        <v>3</v>
      </c>
      <c r="N28" s="51"/>
      <c r="O28" s="692"/>
      <c r="P28" s="226"/>
      <c r="Q28" s="172"/>
      <c r="R28" s="157"/>
      <c r="S28" s="51">
        <v>3</v>
      </c>
      <c r="T28" s="51"/>
      <c r="U28" s="691"/>
      <c r="V28" s="143"/>
      <c r="W28" s="142"/>
      <c r="X28" s="405"/>
      <c r="Y28" s="51">
        <v>3</v>
      </c>
      <c r="Z28" s="51"/>
      <c r="AA28" s="667"/>
      <c r="AB28" s="543"/>
      <c r="AC28" s="172"/>
      <c r="AD28" s="173"/>
      <c r="AE28" s="516"/>
    </row>
    <row r="29" spans="1:31" ht="16.2" customHeight="1">
      <c r="A29" s="51">
        <v>3</v>
      </c>
      <c r="B29" s="51"/>
      <c r="C29" s="692"/>
      <c r="D29" s="226"/>
      <c r="E29" s="156"/>
      <c r="F29" s="157"/>
      <c r="G29" s="51">
        <v>3</v>
      </c>
      <c r="H29" s="51"/>
      <c r="I29" s="692"/>
      <c r="J29" s="226"/>
      <c r="K29" s="156"/>
      <c r="L29" s="157"/>
      <c r="M29" s="51">
        <v>3</v>
      </c>
      <c r="N29" s="51"/>
      <c r="O29" s="692"/>
      <c r="P29" s="543"/>
      <c r="Q29" s="172"/>
      <c r="R29" s="260"/>
      <c r="S29" s="51">
        <v>3</v>
      </c>
      <c r="T29" s="51"/>
      <c r="U29" s="692"/>
      <c r="V29" s="139"/>
      <c r="W29" s="142"/>
      <c r="X29" s="132"/>
      <c r="Y29" s="51">
        <v>3</v>
      </c>
      <c r="Z29" s="51"/>
      <c r="AA29" s="667"/>
      <c r="AB29" s="543"/>
      <c r="AC29" s="172"/>
      <c r="AD29" s="173"/>
      <c r="AE29" s="516"/>
    </row>
    <row r="30" spans="1:31" ht="16.2" customHeight="1">
      <c r="A30" s="51">
        <v>3</v>
      </c>
      <c r="B30" s="51"/>
      <c r="C30" s="512"/>
      <c r="D30" s="139"/>
      <c r="E30" s="176"/>
      <c r="F30" s="132"/>
      <c r="G30" s="51">
        <v>3</v>
      </c>
      <c r="H30" s="51"/>
      <c r="I30" s="561"/>
      <c r="J30" s="139"/>
      <c r="K30" s="168"/>
      <c r="L30" s="132"/>
      <c r="M30" s="51">
        <v>3</v>
      </c>
      <c r="N30" s="51"/>
      <c r="O30" s="561"/>
      <c r="P30" s="515"/>
      <c r="Q30" s="168"/>
      <c r="R30" s="163"/>
      <c r="S30" s="51">
        <v>3</v>
      </c>
      <c r="T30" s="51"/>
      <c r="U30" s="692"/>
      <c r="V30" s="139"/>
      <c r="W30" s="137"/>
      <c r="X30" s="132"/>
      <c r="Y30" s="51">
        <v>3</v>
      </c>
      <c r="Z30" s="51"/>
      <c r="AA30" s="561"/>
      <c r="AB30" s="515"/>
      <c r="AC30" s="168"/>
      <c r="AD30" s="174"/>
      <c r="AE30" s="516"/>
    </row>
    <row r="31" spans="1:31" ht="16.2" customHeight="1" thickBot="1">
      <c r="A31" s="51">
        <v>3</v>
      </c>
      <c r="B31" s="51"/>
      <c r="C31" s="520"/>
      <c r="D31" s="208"/>
      <c r="E31" s="167"/>
      <c r="F31" s="133"/>
      <c r="G31" s="51">
        <v>3</v>
      </c>
      <c r="H31" s="51"/>
      <c r="I31" s="699"/>
      <c r="J31" s="208"/>
      <c r="K31" s="169"/>
      <c r="L31" s="133"/>
      <c r="M31" s="51">
        <v>3</v>
      </c>
      <c r="N31" s="51"/>
      <c r="O31" s="699"/>
      <c r="P31" s="519"/>
      <c r="Q31" s="169"/>
      <c r="R31" s="164"/>
      <c r="S31" s="51">
        <v>3</v>
      </c>
      <c r="T31" s="51"/>
      <c r="U31" s="512"/>
      <c r="V31" s="139"/>
      <c r="W31" s="138"/>
      <c r="X31" s="133"/>
      <c r="Y31" s="51">
        <v>3</v>
      </c>
      <c r="Z31" s="51"/>
      <c r="AA31" s="699"/>
      <c r="AB31" s="519"/>
      <c r="AC31" s="169"/>
      <c r="AD31" s="175"/>
      <c r="AE31" s="516"/>
    </row>
    <row r="32" spans="1:31" ht="16.2" customHeight="1" thickTop="1">
      <c r="A32" s="51">
        <v>4</v>
      </c>
      <c r="B32" s="51"/>
      <c r="C32" s="523" t="s">
        <v>692</v>
      </c>
      <c r="D32" s="27">
        <f>SUM(D13:D31)</f>
        <v>12200</v>
      </c>
      <c r="E32" s="34"/>
      <c r="F32" s="75">
        <f>SUM(F13:F31)</f>
        <v>0</v>
      </c>
      <c r="G32" s="51">
        <v>4</v>
      </c>
      <c r="H32" s="51"/>
      <c r="I32" s="523" t="s">
        <v>692</v>
      </c>
      <c r="J32" s="27">
        <f>SUM(J13:J31)</f>
        <v>14450</v>
      </c>
      <c r="K32" s="37"/>
      <c r="L32" s="75">
        <f>SUM(L13:L31)</f>
        <v>0</v>
      </c>
      <c r="M32" s="51">
        <v>4</v>
      </c>
      <c r="N32" s="51"/>
      <c r="O32" s="523" t="s">
        <v>692</v>
      </c>
      <c r="P32" s="27">
        <f>SUM(P13:P31)</f>
        <v>20950</v>
      </c>
      <c r="Q32" s="37"/>
      <c r="R32" s="75">
        <f>SUM(R13:R31)</f>
        <v>0</v>
      </c>
      <c r="S32" s="51">
        <v>4</v>
      </c>
      <c r="T32" s="51"/>
      <c r="U32" s="523" t="s">
        <v>692</v>
      </c>
      <c r="V32" s="27">
        <f>SUM(V13:V31)</f>
        <v>23600</v>
      </c>
      <c r="W32" s="28"/>
      <c r="X32" s="75">
        <f>SUM(X13:X31)</f>
        <v>0</v>
      </c>
      <c r="Y32" s="51">
        <v>4</v>
      </c>
      <c r="Z32" s="51"/>
      <c r="AA32" s="523" t="s">
        <v>692</v>
      </c>
      <c r="AB32" s="283">
        <f>SUM(AB13:AB31)</f>
        <v>0</v>
      </c>
      <c r="AC32" s="282"/>
      <c r="AD32" s="75">
        <f>SUM(AD13:AD31)</f>
        <v>0</v>
      </c>
      <c r="AE32" s="524">
        <f>D32+J32+P32+V32+AB32</f>
        <v>71200</v>
      </c>
    </row>
    <row r="33" spans="1:31" ht="16.2" customHeight="1">
      <c r="A33" s="51">
        <v>9</v>
      </c>
      <c r="B33" s="51"/>
      <c r="D33" s="1"/>
      <c r="G33" s="51">
        <v>9</v>
      </c>
      <c r="H33" s="51"/>
      <c r="J33" s="1"/>
      <c r="L33" s="233"/>
      <c r="M33" s="51">
        <v>9</v>
      </c>
      <c r="N33" s="51"/>
      <c r="O33" s="489"/>
      <c r="P33" s="489"/>
      <c r="Q33" s="224"/>
      <c r="R33" s="233"/>
      <c r="S33" s="51">
        <v>9</v>
      </c>
      <c r="T33" s="51"/>
      <c r="U33" s="489"/>
      <c r="V33" s="489"/>
      <c r="W33" s="224"/>
      <c r="X33" s="224"/>
      <c r="Y33" s="51">
        <v>9</v>
      </c>
      <c r="Z33" s="51"/>
      <c r="AA33" s="489"/>
      <c r="AB33" s="489"/>
      <c r="AC33" s="224"/>
      <c r="AD33" s="527" t="s">
        <v>692</v>
      </c>
      <c r="AE33" s="93">
        <f>A東大阪市折込部数+M東大阪市折込部数+S東大阪市折込部数+Y東大阪市折込部数+AD32</f>
        <v>0</v>
      </c>
    </row>
    <row r="34" spans="1:31" ht="16.2" customHeight="1">
      <c r="C34" s="489"/>
      <c r="D34" s="298"/>
      <c r="E34" s="217"/>
      <c r="F34" s="224"/>
      <c r="G34" s="224"/>
      <c r="H34" s="224"/>
      <c r="I34" s="489"/>
      <c r="J34" s="298"/>
      <c r="K34" s="224"/>
      <c r="L34" s="224"/>
      <c r="M34" s="224"/>
      <c r="N34" s="224"/>
      <c r="O34" s="489"/>
      <c r="P34" s="489"/>
      <c r="Q34" s="224"/>
      <c r="R34" s="224"/>
      <c r="S34" s="224"/>
      <c r="T34" s="224"/>
      <c r="U34" s="489"/>
      <c r="V34" s="489"/>
      <c r="W34" s="224"/>
      <c r="X34" s="224"/>
      <c r="Y34" s="224"/>
      <c r="Z34" s="224"/>
      <c r="AA34" s="489"/>
      <c r="AB34" s="489"/>
      <c r="AC34" s="224"/>
      <c r="AD34" s="224"/>
      <c r="AE34" s="489"/>
    </row>
    <row r="35" spans="1:31" ht="16.2" customHeight="1">
      <c r="C35" s="489"/>
      <c r="D35" s="298"/>
      <c r="E35" s="217"/>
      <c r="F35" s="224"/>
      <c r="G35" s="224"/>
      <c r="H35" s="224"/>
      <c r="I35" s="489"/>
      <c r="J35" s="298"/>
      <c r="K35" s="224"/>
      <c r="L35" s="224"/>
      <c r="M35" s="224"/>
      <c r="N35" s="224"/>
      <c r="O35" s="489"/>
      <c r="P35" s="489"/>
      <c r="Q35" s="224"/>
      <c r="R35" s="224"/>
      <c r="S35" s="224"/>
      <c r="T35" s="224"/>
      <c r="U35" s="489"/>
      <c r="V35" s="489"/>
      <c r="W35" s="224"/>
      <c r="X35" s="224"/>
      <c r="Y35" s="224"/>
      <c r="Z35" s="224"/>
      <c r="AA35" s="489"/>
      <c r="AB35" s="489"/>
      <c r="AC35" s="224"/>
      <c r="AD35" s="224"/>
      <c r="AE35" s="489"/>
    </row>
    <row r="36" spans="1:31" ht="16.2" customHeight="1">
      <c r="C36" s="489"/>
      <c r="D36" s="298"/>
      <c r="E36" s="217"/>
      <c r="F36" s="224"/>
      <c r="G36" s="224"/>
      <c r="H36" s="224"/>
      <c r="I36" s="489"/>
      <c r="J36" s="298"/>
      <c r="K36" s="224"/>
      <c r="L36" s="224"/>
      <c r="M36" s="224"/>
      <c r="N36" s="224"/>
      <c r="O36" s="489"/>
      <c r="P36" s="489"/>
      <c r="Q36" s="224"/>
      <c r="R36" s="224"/>
      <c r="S36" s="224"/>
      <c r="T36" s="224"/>
      <c r="U36" s="489"/>
      <c r="V36" s="489"/>
      <c r="W36" s="224"/>
      <c r="X36" s="224"/>
      <c r="Y36" s="224"/>
      <c r="Z36" s="224"/>
      <c r="AA36" s="489"/>
      <c r="AB36" s="489"/>
      <c r="AC36" s="224"/>
      <c r="AD36" s="224"/>
      <c r="AE36" s="489"/>
    </row>
    <row r="37" spans="1:31" ht="16.2" customHeight="1">
      <c r="C37" s="489"/>
      <c r="D37" s="298"/>
      <c r="E37" s="217"/>
      <c r="F37" s="224"/>
      <c r="G37" s="224"/>
      <c r="H37" s="224"/>
      <c r="I37" s="489"/>
      <c r="J37" s="298"/>
      <c r="K37" s="224"/>
      <c r="L37" s="224"/>
      <c r="M37" s="224"/>
      <c r="N37" s="224"/>
      <c r="O37" s="489"/>
      <c r="P37" s="489"/>
      <c r="Q37" s="224"/>
      <c r="R37" s="224"/>
      <c r="S37" s="224"/>
      <c r="T37" s="224"/>
      <c r="U37" s="489"/>
      <c r="V37" s="489"/>
      <c r="W37" s="224"/>
      <c r="X37" s="224"/>
      <c r="Y37" s="224"/>
      <c r="Z37" s="224"/>
      <c r="AA37" s="489"/>
      <c r="AB37" s="489"/>
      <c r="AC37" s="224"/>
      <c r="AD37" s="224"/>
      <c r="AE37" s="489"/>
    </row>
    <row r="38" spans="1:31" ht="16.2" customHeight="1">
      <c r="C38" s="489"/>
      <c r="D38" s="298"/>
      <c r="E38" s="217"/>
      <c r="F38" s="224"/>
      <c r="G38" s="224"/>
      <c r="H38" s="224"/>
      <c r="I38" s="489"/>
      <c r="J38" s="298"/>
      <c r="K38" s="224"/>
      <c r="L38" s="224"/>
      <c r="M38" s="224"/>
      <c r="N38" s="224"/>
      <c r="O38" s="489"/>
      <c r="P38" s="489"/>
      <c r="Q38" s="224"/>
      <c r="R38" s="224"/>
      <c r="S38" s="224"/>
      <c r="T38" s="224"/>
      <c r="U38" s="489"/>
      <c r="V38" s="489"/>
      <c r="W38" s="224"/>
      <c r="X38" s="224"/>
      <c r="Y38" s="224"/>
      <c r="Z38" s="224"/>
      <c r="AA38" s="489"/>
      <c r="AB38" s="489"/>
      <c r="AC38" s="224"/>
      <c r="AD38" s="224"/>
      <c r="AE38" s="489"/>
    </row>
    <row r="39" spans="1:31" ht="16.2" customHeight="1">
      <c r="C39" s="489"/>
      <c r="D39" s="298"/>
      <c r="E39" s="217"/>
      <c r="F39" s="224"/>
      <c r="G39" s="224"/>
      <c r="H39" s="224"/>
      <c r="I39" s="489"/>
      <c r="J39" s="298"/>
      <c r="K39" s="224"/>
      <c r="L39" s="224"/>
      <c r="M39" s="224"/>
      <c r="N39" s="224"/>
      <c r="O39" s="489"/>
      <c r="P39" s="489"/>
      <c r="Q39" s="224"/>
      <c r="R39" s="224"/>
      <c r="S39" s="224"/>
      <c r="T39" s="224"/>
      <c r="U39" s="489"/>
      <c r="V39" s="489"/>
      <c r="W39" s="224"/>
      <c r="X39" s="224"/>
      <c r="Y39" s="224"/>
      <c r="Z39" s="224"/>
      <c r="AA39" s="489"/>
      <c r="AB39" s="489"/>
      <c r="AC39" s="224"/>
      <c r="AD39" s="224"/>
      <c r="AE39" s="489"/>
    </row>
    <row r="40" spans="1:31" ht="16.2" customHeight="1">
      <c r="C40" s="489"/>
      <c r="D40" s="298"/>
      <c r="E40" s="217"/>
      <c r="F40" s="224"/>
      <c r="G40" s="224"/>
      <c r="H40" s="224"/>
      <c r="I40" s="489"/>
      <c r="J40" s="298"/>
      <c r="K40" s="224"/>
      <c r="L40" s="224"/>
      <c r="M40" s="224"/>
      <c r="N40" s="224"/>
      <c r="O40" s="489"/>
      <c r="P40" s="489"/>
      <c r="Q40" s="224"/>
      <c r="R40" s="224"/>
      <c r="S40" s="224"/>
      <c r="T40" s="224"/>
      <c r="U40" s="489"/>
      <c r="V40" s="489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1:31" ht="16.2" customHeight="1">
      <c r="C41" s="489"/>
      <c r="D41" s="298"/>
      <c r="E41" s="217"/>
      <c r="F41" s="224"/>
      <c r="G41" s="224"/>
      <c r="H41" s="224"/>
      <c r="I41" s="489"/>
      <c r="J41" s="298"/>
      <c r="K41" s="224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1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298"/>
      <c r="E103" s="217"/>
      <c r="F103" s="224"/>
      <c r="G103" s="224"/>
      <c r="H103" s="224"/>
      <c r="I103" s="489"/>
      <c r="J103" s="298"/>
      <c r="K103" s="224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298"/>
      <c r="E104" s="217"/>
      <c r="F104" s="224"/>
      <c r="G104" s="224"/>
      <c r="H104" s="224"/>
      <c r="I104" s="489"/>
      <c r="J104" s="298"/>
      <c r="K104" s="224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298"/>
      <c r="E105" s="217"/>
      <c r="F105" s="224"/>
      <c r="G105" s="224"/>
      <c r="H105" s="224"/>
      <c r="I105" s="489"/>
      <c r="J105" s="298"/>
      <c r="K105" s="224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298"/>
      <c r="E106" s="217"/>
      <c r="F106" s="224"/>
      <c r="G106" s="224"/>
      <c r="H106" s="224"/>
      <c r="I106" s="489"/>
      <c r="J106" s="298"/>
      <c r="K106" s="224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298"/>
      <c r="E107" s="217"/>
      <c r="F107" s="224"/>
      <c r="G107" s="224"/>
      <c r="H107" s="224"/>
      <c r="I107" s="489"/>
      <c r="J107" s="298"/>
      <c r="K107" s="224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298"/>
      <c r="E108" s="217"/>
      <c r="F108" s="224"/>
      <c r="G108" s="224"/>
      <c r="H108" s="224"/>
      <c r="I108" s="489"/>
      <c r="J108" s="298"/>
      <c r="K108" s="224"/>
      <c r="L108" s="224"/>
      <c r="M108" s="224"/>
      <c r="N108" s="224"/>
      <c r="O108" s="489"/>
      <c r="P108" s="489"/>
      <c r="Q108" s="224"/>
      <c r="R108" s="224"/>
      <c r="S108" s="224"/>
      <c r="T108" s="224"/>
      <c r="U108" s="489"/>
      <c r="V108" s="489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C109" s="489"/>
      <c r="D109" s="298"/>
      <c r="E109" s="217"/>
      <c r="F109" s="224"/>
      <c r="G109" s="224"/>
      <c r="H109" s="224"/>
      <c r="I109" s="489"/>
      <c r="J109" s="298"/>
      <c r="K109" s="224"/>
      <c r="L109" s="224"/>
      <c r="M109" s="224"/>
      <c r="N109" s="224"/>
      <c r="O109" s="489"/>
      <c r="P109" s="489"/>
      <c r="Q109" s="224"/>
      <c r="R109" s="224"/>
      <c r="S109" s="224"/>
      <c r="T109" s="224"/>
      <c r="U109" s="489"/>
      <c r="V109" s="489"/>
      <c r="W109" s="224"/>
      <c r="X109" s="224"/>
      <c r="Y109" s="224"/>
      <c r="Z109" s="224"/>
      <c r="AA109" s="489"/>
      <c r="AB109" s="489"/>
      <c r="AC109" s="224"/>
      <c r="AD109" s="224"/>
      <c r="AE109" s="489"/>
    </row>
    <row r="110" spans="3:31" ht="16.2" customHeight="1">
      <c r="D110" s="1"/>
      <c r="J110" s="1"/>
    </row>
    <row r="111" spans="3:31" ht="16.2" customHeight="1">
      <c r="D111" s="1"/>
      <c r="J111" s="1"/>
    </row>
    <row r="112" spans="3:31" ht="16.2" customHeight="1">
      <c r="D112" s="1"/>
      <c r="J112" s="1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</sheetData>
  <sheetProtection formatCells="0"/>
  <mergeCells count="14">
    <mergeCell ref="C2:F3"/>
    <mergeCell ref="D5:L6"/>
    <mergeCell ref="W5:X5"/>
    <mergeCell ref="P5:V6"/>
    <mergeCell ref="AA5:AC6"/>
    <mergeCell ref="D7:L8"/>
    <mergeCell ref="C10:F10"/>
    <mergeCell ref="I10:L10"/>
    <mergeCell ref="AA10:AD10"/>
    <mergeCell ref="W7:X7"/>
    <mergeCell ref="O10:R10"/>
    <mergeCell ref="U10:X10"/>
    <mergeCell ref="P7:Q8"/>
    <mergeCell ref="AA7:AE8"/>
  </mergeCells>
  <phoneticPr fontId="2"/>
  <conditionalFormatting sqref="F13:F29 L13:L29 R13:R29 X13:X29">
    <cfRule type="cellIs" dxfId="25" priority="2" operator="greaterThan">
      <formula>D13</formula>
    </cfRule>
  </conditionalFormatting>
  <hyperlinks>
    <hyperlink ref="C2:F3" location="提案表紙!A1" display="大阪府折込資料表" xr:uid="{00000000-0004-0000-15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&amp;L東大阪市&amp;RP-18/34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tabColor rgb="FFB6D2F5"/>
    <pageSetUpPr fitToPage="1"/>
  </sheetPr>
  <dimension ref="A1:AE118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E4"/>
      <c r="F4"/>
      <c r="G4"/>
      <c r="H4"/>
      <c r="I4" s="187">
        <v>45717</v>
      </c>
      <c r="J4" s="186" t="s">
        <v>0</v>
      </c>
      <c r="K4" t="s">
        <v>713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714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715</v>
      </c>
      <c r="P7" s="827">
        <f>提案表紙!G9</f>
        <v>0</v>
      </c>
      <c r="Q7" s="828"/>
      <c r="R7" s="7" t="s">
        <v>676</v>
      </c>
      <c r="S7"/>
      <c r="T7"/>
      <c r="U7" s="410">
        <f>八尾市折込部数+柏原市折込部数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688</v>
      </c>
      <c r="D11" s="504" t="s">
        <v>689</v>
      </c>
      <c r="E11" s="319" t="s">
        <v>690</v>
      </c>
      <c r="F11" s="505" t="s">
        <v>212</v>
      </c>
      <c r="G11" s="51"/>
      <c r="H11" s="51"/>
      <c r="I11" s="503" t="s">
        <v>688</v>
      </c>
      <c r="J11" s="504" t="s">
        <v>689</v>
      </c>
      <c r="K11" s="319" t="s">
        <v>690</v>
      </c>
      <c r="L11" s="505" t="s">
        <v>212</v>
      </c>
      <c r="M11" s="51"/>
      <c r="N11" s="51"/>
      <c r="O11" s="503" t="s">
        <v>688</v>
      </c>
      <c r="P11" s="504" t="s">
        <v>689</v>
      </c>
      <c r="Q11" s="319" t="s">
        <v>690</v>
      </c>
      <c r="R11" s="505" t="s">
        <v>212</v>
      </c>
      <c r="S11" s="51"/>
      <c r="T11" s="51"/>
      <c r="U11" s="503" t="s">
        <v>688</v>
      </c>
      <c r="V11" s="504" t="s">
        <v>689</v>
      </c>
      <c r="W11" s="319" t="s">
        <v>690</v>
      </c>
      <c r="X11" s="505" t="s">
        <v>212</v>
      </c>
      <c r="Y11" s="51"/>
      <c r="Z11" s="51"/>
      <c r="AA11" s="503" t="s">
        <v>688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1426</v>
      </c>
      <c r="C12" s="46" t="s">
        <v>716</v>
      </c>
      <c r="G12" s="51">
        <v>2</v>
      </c>
      <c r="H12" s="488" t="s">
        <v>1426</v>
      </c>
      <c r="M12" s="51">
        <v>2</v>
      </c>
      <c r="N12" s="488" t="s">
        <v>1426</v>
      </c>
      <c r="R12"/>
      <c r="S12" s="51">
        <v>2</v>
      </c>
      <c r="T12" s="488" t="s">
        <v>1426</v>
      </c>
      <c r="X12"/>
      <c r="Y12" s="51">
        <v>2</v>
      </c>
      <c r="Z12" s="488" t="s">
        <v>1426</v>
      </c>
      <c r="AB12" s="15"/>
      <c r="AC12"/>
      <c r="AD12"/>
    </row>
    <row r="13" spans="1:31" ht="16.2" customHeight="1">
      <c r="A13" s="51">
        <v>3</v>
      </c>
      <c r="B13" s="51">
        <v>72313</v>
      </c>
      <c r="C13" s="441" t="s">
        <v>719</v>
      </c>
      <c r="D13" s="148">
        <v>1400</v>
      </c>
      <c r="E13" s="177"/>
      <c r="F13" s="404"/>
      <c r="G13" s="51">
        <v>3</v>
      </c>
      <c r="H13" s="51">
        <v>73305</v>
      </c>
      <c r="I13" s="441" t="s">
        <v>726</v>
      </c>
      <c r="J13" s="148">
        <v>1450</v>
      </c>
      <c r="K13" s="177"/>
      <c r="L13" s="404"/>
      <c r="M13" s="51">
        <v>3</v>
      </c>
      <c r="N13" s="51">
        <v>75333</v>
      </c>
      <c r="O13" s="441" t="s">
        <v>1263</v>
      </c>
      <c r="P13" s="148">
        <v>850</v>
      </c>
      <c r="Q13" s="177"/>
      <c r="R13" s="404"/>
      <c r="S13" s="51">
        <v>3</v>
      </c>
      <c r="T13" s="51">
        <v>74399</v>
      </c>
      <c r="U13" s="441" t="s">
        <v>735</v>
      </c>
      <c r="V13" s="148">
        <v>1550</v>
      </c>
      <c r="W13" s="177"/>
      <c r="X13" s="404"/>
      <c r="Y13" s="51">
        <v>3</v>
      </c>
      <c r="Z13" s="51"/>
      <c r="AA13" s="703"/>
      <c r="AB13" s="215"/>
      <c r="AC13" s="136"/>
      <c r="AD13" s="129"/>
      <c r="AE13" s="704"/>
    </row>
    <row r="14" spans="1:31" ht="16.2" customHeight="1">
      <c r="A14" s="51">
        <v>3</v>
      </c>
      <c r="B14" s="51">
        <v>72315</v>
      </c>
      <c r="C14" s="691" t="s">
        <v>720</v>
      </c>
      <c r="D14" s="352">
        <v>700</v>
      </c>
      <c r="E14" s="146"/>
      <c r="F14" s="405"/>
      <c r="G14" s="51">
        <v>3</v>
      </c>
      <c r="H14" s="51">
        <v>73307</v>
      </c>
      <c r="I14" s="691" t="s">
        <v>722</v>
      </c>
      <c r="J14" s="352">
        <v>1200</v>
      </c>
      <c r="K14" s="198"/>
      <c r="L14" s="405"/>
      <c r="M14" s="51">
        <v>3</v>
      </c>
      <c r="N14" s="51">
        <v>75335</v>
      </c>
      <c r="O14" s="691" t="s">
        <v>1329</v>
      </c>
      <c r="P14" s="352">
        <v>600</v>
      </c>
      <c r="Q14" s="198"/>
      <c r="R14" s="405"/>
      <c r="S14" s="51">
        <v>3</v>
      </c>
      <c r="T14" s="51">
        <v>74401</v>
      </c>
      <c r="U14" s="691" t="s">
        <v>719</v>
      </c>
      <c r="V14" s="352">
        <v>2450</v>
      </c>
      <c r="W14" s="198"/>
      <c r="X14" s="405"/>
      <c r="Y14" s="51">
        <v>3</v>
      </c>
      <c r="Z14" s="51"/>
      <c r="AA14" s="692"/>
      <c r="AB14" s="226"/>
      <c r="AC14" s="156"/>
      <c r="AD14" s="157"/>
      <c r="AE14" s="706"/>
    </row>
    <row r="15" spans="1:31" ht="16.2" customHeight="1">
      <c r="A15" s="51">
        <v>3</v>
      </c>
      <c r="B15" s="51">
        <v>72317</v>
      </c>
      <c r="C15" s="691" t="s">
        <v>721</v>
      </c>
      <c r="D15" s="352">
        <v>1200</v>
      </c>
      <c r="E15" s="146"/>
      <c r="F15" s="405"/>
      <c r="G15" s="51">
        <v>3</v>
      </c>
      <c r="H15" s="51">
        <v>73311</v>
      </c>
      <c r="I15" s="691" t="s">
        <v>729</v>
      </c>
      <c r="J15" s="352">
        <v>850</v>
      </c>
      <c r="K15" s="198"/>
      <c r="L15" s="405"/>
      <c r="M15" s="51">
        <v>3</v>
      </c>
      <c r="N15" s="51">
        <v>75337</v>
      </c>
      <c r="O15" s="691" t="s">
        <v>724</v>
      </c>
      <c r="P15" s="352">
        <v>1300</v>
      </c>
      <c r="Q15" s="198"/>
      <c r="R15" s="405"/>
      <c r="S15" s="51">
        <v>3</v>
      </c>
      <c r="T15" s="51">
        <v>74403</v>
      </c>
      <c r="U15" s="386" t="s">
        <v>731</v>
      </c>
      <c r="V15" s="352">
        <v>2900</v>
      </c>
      <c r="W15" s="198"/>
      <c r="X15" s="405"/>
      <c r="Y15" s="51">
        <v>3</v>
      </c>
      <c r="Z15" s="51"/>
      <c r="AA15" s="692"/>
      <c r="AB15" s="226"/>
      <c r="AC15" s="156"/>
      <c r="AD15" s="157"/>
      <c r="AE15" s="706"/>
    </row>
    <row r="16" spans="1:31" ht="16.2" customHeight="1">
      <c r="A16" s="51">
        <v>3</v>
      </c>
      <c r="B16" s="51">
        <v>72319</v>
      </c>
      <c r="C16" s="691" t="s">
        <v>722</v>
      </c>
      <c r="D16" s="542">
        <v>550</v>
      </c>
      <c r="E16" s="146"/>
      <c r="F16" s="405"/>
      <c r="G16" s="51">
        <v>3</v>
      </c>
      <c r="H16" s="51">
        <v>73313</v>
      </c>
      <c r="I16" s="691" t="s">
        <v>719</v>
      </c>
      <c r="J16" s="352">
        <v>2000</v>
      </c>
      <c r="K16" s="198"/>
      <c r="L16" s="405"/>
      <c r="M16" s="51">
        <v>3</v>
      </c>
      <c r="N16" s="51">
        <v>75339</v>
      </c>
      <c r="O16" s="691" t="s">
        <v>725</v>
      </c>
      <c r="P16" s="352">
        <v>1100</v>
      </c>
      <c r="Q16" s="198"/>
      <c r="R16" s="405"/>
      <c r="S16" s="51">
        <v>3</v>
      </c>
      <c r="T16" s="51">
        <v>74405</v>
      </c>
      <c r="U16" s="691" t="s">
        <v>724</v>
      </c>
      <c r="V16" s="352">
        <v>4750</v>
      </c>
      <c r="W16" s="198"/>
      <c r="X16" s="405"/>
      <c r="Y16" s="51">
        <v>3</v>
      </c>
      <c r="Z16" s="51"/>
      <c r="AA16" s="692"/>
      <c r="AB16" s="226"/>
      <c r="AC16" s="156"/>
      <c r="AD16" s="157"/>
      <c r="AE16" s="706"/>
    </row>
    <row r="17" spans="1:31" ht="16.2" customHeight="1">
      <c r="A17" s="51">
        <v>3</v>
      </c>
      <c r="B17" s="51">
        <v>72321</v>
      </c>
      <c r="C17" s="691" t="s">
        <v>723</v>
      </c>
      <c r="D17" s="542">
        <v>850</v>
      </c>
      <c r="E17" s="146"/>
      <c r="F17" s="405"/>
      <c r="G17" s="51">
        <v>3</v>
      </c>
      <c r="H17" s="51">
        <v>73315</v>
      </c>
      <c r="I17" s="691" t="s">
        <v>724</v>
      </c>
      <c r="J17" s="352">
        <v>1650</v>
      </c>
      <c r="K17" s="198"/>
      <c r="L17" s="405"/>
      <c r="M17" s="51">
        <v>3</v>
      </c>
      <c r="N17" s="51">
        <v>75343</v>
      </c>
      <c r="O17" s="691" t="s">
        <v>719</v>
      </c>
      <c r="P17" s="352">
        <v>2000</v>
      </c>
      <c r="Q17" s="198"/>
      <c r="R17" s="405"/>
      <c r="S17" s="51">
        <v>3</v>
      </c>
      <c r="T17" s="51">
        <v>74407</v>
      </c>
      <c r="U17" s="691" t="s">
        <v>730</v>
      </c>
      <c r="V17" s="352">
        <v>1750</v>
      </c>
      <c r="W17" s="198"/>
      <c r="X17" s="405"/>
      <c r="Y17" s="51">
        <v>3</v>
      </c>
      <c r="Z17" s="51"/>
      <c r="AA17" s="692"/>
      <c r="AB17" s="226"/>
      <c r="AC17" s="156"/>
      <c r="AD17" s="157"/>
      <c r="AE17" s="706"/>
    </row>
    <row r="18" spans="1:31" ht="16.2" customHeight="1">
      <c r="A18" s="51">
        <v>3</v>
      </c>
      <c r="B18" s="51">
        <v>72323</v>
      </c>
      <c r="C18" s="691" t="s">
        <v>724</v>
      </c>
      <c r="D18" s="352">
        <v>1300</v>
      </c>
      <c r="E18" s="146"/>
      <c r="F18" s="405"/>
      <c r="G18" s="51">
        <v>3</v>
      </c>
      <c r="H18" s="51">
        <v>73317</v>
      </c>
      <c r="I18" s="386" t="s">
        <v>730</v>
      </c>
      <c r="J18" s="143">
        <v>2250</v>
      </c>
      <c r="K18" s="198"/>
      <c r="L18" s="405"/>
      <c r="M18" s="51">
        <v>3</v>
      </c>
      <c r="N18" s="51">
        <v>75345</v>
      </c>
      <c r="O18" s="386" t="s">
        <v>720</v>
      </c>
      <c r="P18" s="143">
        <v>3200</v>
      </c>
      <c r="Q18" s="198"/>
      <c r="R18" s="405"/>
      <c r="S18" s="51">
        <v>3</v>
      </c>
      <c r="T18" s="51">
        <v>74409</v>
      </c>
      <c r="U18" s="386" t="s">
        <v>1523</v>
      </c>
      <c r="V18" s="143">
        <v>2350</v>
      </c>
      <c r="W18" s="198"/>
      <c r="X18" s="405"/>
      <c r="Y18" s="51">
        <v>3</v>
      </c>
      <c r="Z18" s="51"/>
      <c r="AA18" s="692"/>
      <c r="AB18" s="226"/>
      <c r="AC18" s="156"/>
      <c r="AD18" s="157"/>
      <c r="AE18" s="706"/>
    </row>
    <row r="19" spans="1:31" ht="16.2" customHeight="1">
      <c r="A19" s="51">
        <v>3</v>
      </c>
      <c r="B19" s="51">
        <v>72325</v>
      </c>
      <c r="C19" s="691" t="s">
        <v>1327</v>
      </c>
      <c r="D19" s="352">
        <v>450</v>
      </c>
      <c r="E19" s="146"/>
      <c r="F19" s="405"/>
      <c r="G19" s="51">
        <v>3</v>
      </c>
      <c r="H19" s="51">
        <v>73319</v>
      </c>
      <c r="I19" s="691" t="s">
        <v>723</v>
      </c>
      <c r="J19" s="352">
        <v>1300</v>
      </c>
      <c r="K19" s="198"/>
      <c r="L19" s="405"/>
      <c r="M19" s="51">
        <v>3</v>
      </c>
      <c r="N19" s="51">
        <v>75347</v>
      </c>
      <c r="O19" s="386" t="s">
        <v>736</v>
      </c>
      <c r="P19" s="143">
        <v>1850</v>
      </c>
      <c r="Q19" s="198"/>
      <c r="R19" s="405"/>
      <c r="S19" s="51">
        <v>3</v>
      </c>
      <c r="T19" s="51"/>
      <c r="U19" s="386"/>
      <c r="V19" s="446"/>
      <c r="W19" s="198"/>
      <c r="X19" s="405"/>
      <c r="Y19" s="51">
        <v>3</v>
      </c>
      <c r="Z19" s="51"/>
      <c r="AA19" s="692"/>
      <c r="AB19" s="226"/>
      <c r="AC19" s="156"/>
      <c r="AD19" s="157"/>
      <c r="AE19" s="706"/>
    </row>
    <row r="20" spans="1:31" ht="16.2" customHeight="1">
      <c r="A20" s="51">
        <v>3</v>
      </c>
      <c r="B20" s="51">
        <v>72326</v>
      </c>
      <c r="C20" s="386" t="s">
        <v>1550</v>
      </c>
      <c r="D20" s="143">
        <v>1550</v>
      </c>
      <c r="E20" s="146"/>
      <c r="F20" s="405"/>
      <c r="G20" s="51">
        <v>3</v>
      </c>
      <c r="H20" s="51"/>
      <c r="I20" s="691"/>
      <c r="J20" s="352"/>
      <c r="K20" s="137"/>
      <c r="L20" s="405"/>
      <c r="M20" s="51">
        <v>3</v>
      </c>
      <c r="N20" s="51">
        <v>75349</v>
      </c>
      <c r="O20" s="512" t="s">
        <v>1327</v>
      </c>
      <c r="P20" s="139">
        <v>1200</v>
      </c>
      <c r="Q20" s="137"/>
      <c r="R20" s="405"/>
      <c r="S20" s="51">
        <v>3</v>
      </c>
      <c r="T20" s="51"/>
      <c r="U20" s="386"/>
      <c r="V20" s="143"/>
      <c r="W20" s="146"/>
      <c r="X20" s="405"/>
      <c r="Y20" s="51">
        <v>3</v>
      </c>
      <c r="Z20" s="51"/>
      <c r="AA20" s="512"/>
      <c r="AB20" s="139"/>
      <c r="AC20" s="137"/>
      <c r="AD20" s="132"/>
      <c r="AE20" s="706"/>
    </row>
    <row r="21" spans="1:31" ht="16.2" customHeight="1">
      <c r="A21" s="51">
        <v>3</v>
      </c>
      <c r="B21" s="51"/>
      <c r="C21" s="512"/>
      <c r="D21" s="139"/>
      <c r="E21" s="146"/>
      <c r="F21" s="132"/>
      <c r="G21" s="51">
        <v>3</v>
      </c>
      <c r="H21" s="51"/>
      <c r="I21" s="512"/>
      <c r="J21" s="139"/>
      <c r="K21" s="137"/>
      <c r="L21" s="132"/>
      <c r="M21" s="51">
        <v>3</v>
      </c>
      <c r="N21" s="51"/>
      <c r="O21" s="512"/>
      <c r="P21" s="139"/>
      <c r="Q21" s="137"/>
      <c r="R21" s="132"/>
      <c r="S21" s="51">
        <v>3</v>
      </c>
      <c r="T21" s="51"/>
      <c r="U21" s="386"/>
      <c r="V21" s="143"/>
      <c r="W21" s="146"/>
      <c r="X21" s="405"/>
      <c r="Y21" s="51">
        <v>3</v>
      </c>
      <c r="Z21" s="51"/>
      <c r="AA21" s="512"/>
      <c r="AB21" s="139"/>
      <c r="AC21" s="137"/>
      <c r="AD21" s="132"/>
      <c r="AE21" s="719"/>
    </row>
    <row r="22" spans="1:31" ht="16.2" customHeight="1">
      <c r="A22" s="51">
        <v>3</v>
      </c>
      <c r="B22" s="51"/>
      <c r="C22" s="512"/>
      <c r="D22" s="139"/>
      <c r="E22" s="146"/>
      <c r="F22" s="132"/>
      <c r="G22" s="51">
        <v>3</v>
      </c>
      <c r="H22" s="51"/>
      <c r="I22" s="512"/>
      <c r="J22" s="139"/>
      <c r="K22" s="137"/>
      <c r="L22" s="132"/>
      <c r="M22" s="51">
        <v>3</v>
      </c>
      <c r="N22" s="51"/>
      <c r="O22" s="512"/>
      <c r="P22" s="139"/>
      <c r="Q22" s="137"/>
      <c r="R22" s="132"/>
      <c r="S22" s="51">
        <v>3</v>
      </c>
      <c r="T22" s="673"/>
      <c r="W22" s="146"/>
      <c r="X22" s="132"/>
      <c r="Y22" s="51">
        <v>3</v>
      </c>
      <c r="Z22" s="51"/>
      <c r="AA22" s="512"/>
      <c r="AB22" s="139"/>
      <c r="AC22" s="137"/>
      <c r="AD22" s="132"/>
      <c r="AE22" s="516"/>
    </row>
    <row r="23" spans="1:31" ht="16.2" customHeight="1">
      <c r="A23" s="51">
        <v>3</v>
      </c>
      <c r="B23" s="51"/>
      <c r="C23" s="512"/>
      <c r="D23" s="139"/>
      <c r="E23" s="146"/>
      <c r="F23" s="132"/>
      <c r="G23" s="51">
        <v>3</v>
      </c>
      <c r="H23" s="51"/>
      <c r="I23" s="512"/>
      <c r="J23" s="139"/>
      <c r="K23" s="137"/>
      <c r="L23" s="132"/>
      <c r="M23" s="51">
        <v>3</v>
      </c>
      <c r="N23" s="51"/>
      <c r="O23" s="512"/>
      <c r="P23" s="139"/>
      <c r="Q23" s="137"/>
      <c r="R23" s="132"/>
      <c r="S23" s="51">
        <v>3</v>
      </c>
      <c r="T23" s="51"/>
      <c r="U23" s="512"/>
      <c r="V23" s="139"/>
      <c r="W23" s="146"/>
      <c r="X23" s="132"/>
      <c r="Y23" s="51">
        <v>3</v>
      </c>
      <c r="Z23" s="51"/>
      <c r="AA23" s="512"/>
      <c r="AB23" s="139"/>
      <c r="AC23" s="137"/>
      <c r="AD23" s="132"/>
      <c r="AE23" s="516"/>
    </row>
    <row r="24" spans="1:31" ht="16.2" customHeight="1">
      <c r="A24" s="51">
        <v>3</v>
      </c>
      <c r="B24" s="51"/>
      <c r="C24" s="512"/>
      <c r="D24" s="139"/>
      <c r="E24" s="146"/>
      <c r="F24" s="132"/>
      <c r="G24" s="51">
        <v>3</v>
      </c>
      <c r="H24" s="51"/>
      <c r="I24" s="512"/>
      <c r="J24" s="139"/>
      <c r="K24" s="137"/>
      <c r="L24" s="132"/>
      <c r="M24" s="51">
        <v>3</v>
      </c>
      <c r="N24" s="51"/>
      <c r="O24" s="512"/>
      <c r="P24" s="139"/>
      <c r="Q24" s="137"/>
      <c r="R24" s="132"/>
      <c r="S24" s="51">
        <v>3</v>
      </c>
      <c r="T24" s="51"/>
      <c r="U24" s="512"/>
      <c r="V24" s="139"/>
      <c r="W24" s="146"/>
      <c r="X24" s="132"/>
      <c r="Y24" s="51">
        <v>3</v>
      </c>
      <c r="Z24" s="51"/>
      <c r="AA24" s="512"/>
      <c r="AB24" s="139"/>
      <c r="AC24" s="137"/>
      <c r="AD24" s="132"/>
      <c r="AE24" s="516"/>
    </row>
    <row r="25" spans="1:31" ht="16.2" customHeight="1">
      <c r="A25" s="51">
        <v>3</v>
      </c>
      <c r="B25" s="51"/>
      <c r="C25" s="512"/>
      <c r="D25" s="139"/>
      <c r="E25" s="146"/>
      <c r="F25" s="132"/>
      <c r="G25" s="51">
        <v>3</v>
      </c>
      <c r="H25" s="51"/>
      <c r="I25" s="512"/>
      <c r="J25" s="139"/>
      <c r="K25" s="137"/>
      <c r="L25" s="132"/>
      <c r="M25" s="51">
        <v>3</v>
      </c>
      <c r="N25" s="51"/>
      <c r="O25" s="512"/>
      <c r="P25" s="139"/>
      <c r="Q25" s="137"/>
      <c r="R25" s="132"/>
      <c r="S25" s="51">
        <v>3</v>
      </c>
      <c r="T25" s="51"/>
      <c r="U25" s="512"/>
      <c r="V25" s="139"/>
      <c r="W25" s="146"/>
      <c r="X25" s="132"/>
      <c r="Y25" s="51">
        <v>3</v>
      </c>
      <c r="Z25" s="51"/>
      <c r="AA25" s="512"/>
      <c r="AB25" s="139"/>
      <c r="AC25" s="137"/>
      <c r="AD25" s="132"/>
      <c r="AE25" s="516"/>
    </row>
    <row r="26" spans="1:31" ht="16.2" customHeight="1">
      <c r="A26" s="51">
        <v>3</v>
      </c>
      <c r="B26" s="51"/>
      <c r="C26" s="512"/>
      <c r="D26" s="139"/>
      <c r="E26" s="146"/>
      <c r="F26" s="132"/>
      <c r="G26" s="51">
        <v>3</v>
      </c>
      <c r="H26" s="51"/>
      <c r="I26" s="512"/>
      <c r="J26" s="139"/>
      <c r="K26" s="137"/>
      <c r="L26" s="132"/>
      <c r="M26" s="51">
        <v>3</v>
      </c>
      <c r="N26" s="51"/>
      <c r="O26" s="512"/>
      <c r="P26" s="139"/>
      <c r="Q26" s="137"/>
      <c r="R26" s="132"/>
      <c r="S26" s="51">
        <v>3</v>
      </c>
      <c r="T26" s="51"/>
      <c r="U26" s="512"/>
      <c r="V26" s="139"/>
      <c r="W26" s="146"/>
      <c r="X26" s="132"/>
      <c r="Y26" s="51">
        <v>3</v>
      </c>
      <c r="Z26" s="51"/>
      <c r="AA26" s="512"/>
      <c r="AB26" s="139"/>
      <c r="AC26" s="137"/>
      <c r="AD26" s="132"/>
      <c r="AE26" s="516"/>
    </row>
    <row r="27" spans="1:31" ht="16.2" customHeight="1" thickBot="1">
      <c r="A27" s="51">
        <v>3</v>
      </c>
      <c r="B27" s="51"/>
      <c r="C27" s="512"/>
      <c r="D27" s="139"/>
      <c r="E27" s="178"/>
      <c r="F27" s="132"/>
      <c r="G27" s="51">
        <v>3</v>
      </c>
      <c r="H27" s="51"/>
      <c r="I27" s="512"/>
      <c r="J27" s="139"/>
      <c r="K27" s="137"/>
      <c r="L27" s="132"/>
      <c r="M27" s="51">
        <v>3</v>
      </c>
      <c r="N27" s="51"/>
      <c r="O27" s="512"/>
      <c r="P27" s="139"/>
      <c r="Q27" s="137"/>
      <c r="R27" s="132"/>
      <c r="S27" s="51">
        <v>3</v>
      </c>
      <c r="T27" s="51"/>
      <c r="U27" s="512"/>
      <c r="V27" s="139"/>
      <c r="W27" s="137"/>
      <c r="X27" s="132"/>
      <c r="Y27" s="51">
        <v>3</v>
      </c>
      <c r="Z27" s="51"/>
      <c r="AA27" s="512"/>
      <c r="AB27" s="139"/>
      <c r="AC27" s="137"/>
      <c r="AD27" s="132"/>
      <c r="AE27" s="516"/>
    </row>
    <row r="28" spans="1:31" ht="16.2" customHeight="1" thickTop="1">
      <c r="A28" s="51">
        <v>4</v>
      </c>
      <c r="B28" s="51"/>
      <c r="C28" s="523" t="s">
        <v>692</v>
      </c>
      <c r="D28" s="535">
        <f xml:space="preserve"> SUM(D13:D27)</f>
        <v>8000</v>
      </c>
      <c r="E28" s="28"/>
      <c r="F28" s="75">
        <f>SUM(F13:F27)</f>
        <v>0</v>
      </c>
      <c r="G28" s="51">
        <v>4</v>
      </c>
      <c r="H28" s="51"/>
      <c r="I28" s="523" t="s">
        <v>692</v>
      </c>
      <c r="J28" s="535">
        <f xml:space="preserve"> SUM(J13:J27)</f>
        <v>10700</v>
      </c>
      <c r="K28" s="28"/>
      <c r="L28" s="75">
        <f>SUM(L13:L27)</f>
        <v>0</v>
      </c>
      <c r="M28" s="51">
        <v>4</v>
      </c>
      <c r="N28" s="51"/>
      <c r="O28" s="523" t="s">
        <v>692</v>
      </c>
      <c r="P28" s="535">
        <f xml:space="preserve"> SUM(P13:P27)</f>
        <v>12100</v>
      </c>
      <c r="Q28" s="28"/>
      <c r="R28" s="75">
        <f>SUM(R13:R27)</f>
        <v>0</v>
      </c>
      <c r="S28" s="51">
        <v>4</v>
      </c>
      <c r="T28" s="51"/>
      <c r="U28" s="523" t="s">
        <v>692</v>
      </c>
      <c r="V28" s="535">
        <f xml:space="preserve"> SUM(V13:V27)</f>
        <v>15750</v>
      </c>
      <c r="W28" s="28"/>
      <c r="X28" s="75">
        <f>SUM(X13:X27)</f>
        <v>0</v>
      </c>
      <c r="Y28" s="51">
        <v>4</v>
      </c>
      <c r="Z28" s="51"/>
      <c r="AA28" s="702" t="s">
        <v>692</v>
      </c>
      <c r="AB28" s="535">
        <f>SUM(AB13:AB27)</f>
        <v>0</v>
      </c>
      <c r="AC28" s="28"/>
      <c r="AD28" s="92">
        <f>SUM(AD13:AD27)</f>
        <v>0</v>
      </c>
      <c r="AE28" s="524">
        <f>D28+J28+P28+V28+AB28</f>
        <v>46550</v>
      </c>
    </row>
    <row r="29" spans="1:31" ht="16.2" customHeight="1">
      <c r="A29" s="51"/>
      <c r="B29" s="51"/>
      <c r="C29" s="18"/>
      <c r="D29" s="20"/>
      <c r="F29" s="189"/>
      <c r="G29" s="51"/>
      <c r="H29" s="51"/>
      <c r="I29" s="18"/>
      <c r="J29" s="20"/>
      <c r="L29" s="189"/>
      <c r="M29" s="51"/>
      <c r="N29" s="51"/>
      <c r="O29" s="18"/>
      <c r="P29" s="20"/>
      <c r="R29" s="189"/>
      <c r="S29" s="51"/>
      <c r="T29" s="51"/>
      <c r="U29" s="18"/>
      <c r="V29" s="20"/>
      <c r="X29" s="189"/>
      <c r="Y29" s="51"/>
      <c r="Z29" s="51"/>
      <c r="AA29" s="18"/>
      <c r="AB29" s="20"/>
      <c r="AD29" s="527" t="s">
        <v>692</v>
      </c>
      <c r="AE29" s="93">
        <f>A八尾市折込部数+M八尾市折込部数+S八尾市折込部数+Y八尾市折込部数+AD28</f>
        <v>0</v>
      </c>
    </row>
    <row r="30" spans="1:31" ht="16.2" customHeight="1">
      <c r="A30" s="51">
        <v>2</v>
      </c>
      <c r="B30" s="488" t="s">
        <v>1427</v>
      </c>
      <c r="C30" s="46" t="s">
        <v>717</v>
      </c>
      <c r="F30" s="224"/>
      <c r="G30" s="51">
        <v>2</v>
      </c>
      <c r="H30" s="488" t="s">
        <v>1427</v>
      </c>
      <c r="I30" s="489"/>
      <c r="J30" s="489"/>
      <c r="K30" s="217"/>
      <c r="L30" s="224"/>
      <c r="M30" s="51">
        <v>2</v>
      </c>
      <c r="N30" s="488" t="s">
        <v>1427</v>
      </c>
      <c r="O30" s="489"/>
      <c r="P30" s="489"/>
      <c r="Q30" s="217"/>
      <c r="R30" s="224"/>
      <c r="S30" s="51">
        <v>2</v>
      </c>
      <c r="T30" s="488" t="s">
        <v>1427</v>
      </c>
      <c r="X30" s="224"/>
      <c r="Y30" s="51">
        <v>2</v>
      </c>
      <c r="Z30" s="488" t="s">
        <v>1427</v>
      </c>
      <c r="AA30" s="489"/>
      <c r="AB30" s="489"/>
      <c r="AD30" s="721"/>
      <c r="AE30" s="275"/>
    </row>
    <row r="31" spans="1:31" ht="16.2" customHeight="1">
      <c r="A31" s="51">
        <v>3</v>
      </c>
      <c r="B31" s="51">
        <v>72327</v>
      </c>
      <c r="C31" s="441" t="s">
        <v>738</v>
      </c>
      <c r="D31" s="148">
        <v>1400</v>
      </c>
      <c r="E31" s="177"/>
      <c r="F31" s="404"/>
      <c r="G31" s="51">
        <v>3</v>
      </c>
      <c r="H31" s="51">
        <v>73321</v>
      </c>
      <c r="I31" s="441" t="s">
        <v>738</v>
      </c>
      <c r="J31" s="148">
        <v>1650</v>
      </c>
      <c r="K31" s="177"/>
      <c r="L31" s="404"/>
      <c r="M31" s="51">
        <v>3</v>
      </c>
      <c r="N31" s="51">
        <v>75351</v>
      </c>
      <c r="O31" s="441" t="s">
        <v>1499</v>
      </c>
      <c r="P31" s="148">
        <v>2700</v>
      </c>
      <c r="Q31" s="177"/>
      <c r="R31" s="404"/>
      <c r="S31" s="51">
        <v>3</v>
      </c>
      <c r="T31" s="51">
        <v>74417</v>
      </c>
      <c r="U31" s="441" t="s">
        <v>739</v>
      </c>
      <c r="V31" s="267">
        <v>1800</v>
      </c>
      <c r="W31" s="177"/>
      <c r="X31" s="404"/>
      <c r="Y31" s="51">
        <v>3</v>
      </c>
      <c r="Z31" s="51"/>
      <c r="AA31" s="703"/>
      <c r="AB31" s="215"/>
      <c r="AC31" s="177"/>
      <c r="AD31" s="129"/>
      <c r="AE31" s="704"/>
    </row>
    <row r="32" spans="1:31" ht="16.2" customHeight="1">
      <c r="A32" s="51">
        <v>3</v>
      </c>
      <c r="B32" s="51">
        <v>72329</v>
      </c>
      <c r="C32" s="691" t="s">
        <v>739</v>
      </c>
      <c r="D32" s="352">
        <v>1300</v>
      </c>
      <c r="E32" s="198"/>
      <c r="F32" s="405"/>
      <c r="G32" s="51">
        <v>3</v>
      </c>
      <c r="H32" s="51">
        <v>73323</v>
      </c>
      <c r="I32" s="691" t="s">
        <v>739</v>
      </c>
      <c r="J32" s="352">
        <v>650</v>
      </c>
      <c r="K32" s="146"/>
      <c r="L32" s="405"/>
      <c r="M32" s="51">
        <v>3</v>
      </c>
      <c r="N32" s="51"/>
      <c r="O32" s="691"/>
      <c r="P32" s="352"/>
      <c r="Q32" s="198"/>
      <c r="R32" s="405"/>
      <c r="S32" s="51">
        <v>3</v>
      </c>
      <c r="T32" s="51">
        <v>74419</v>
      </c>
      <c r="U32" s="691" t="s">
        <v>738</v>
      </c>
      <c r="V32" s="352">
        <v>2100</v>
      </c>
      <c r="W32" s="198"/>
      <c r="X32" s="405"/>
      <c r="Y32" s="51">
        <v>3</v>
      </c>
      <c r="Z32" s="51"/>
      <c r="AA32" s="694"/>
      <c r="AB32" s="678"/>
      <c r="AC32" s="254"/>
      <c r="AD32" s="161"/>
      <c r="AE32" s="706"/>
    </row>
    <row r="33" spans="1:31" ht="16.2" customHeight="1" thickBot="1">
      <c r="A33" s="51">
        <v>3</v>
      </c>
      <c r="B33" s="51"/>
      <c r="C33" s="512"/>
      <c r="D33" s="139"/>
      <c r="E33" s="146"/>
      <c r="F33" s="132"/>
      <c r="G33" s="51">
        <v>3</v>
      </c>
      <c r="H33" s="51"/>
      <c r="I33" s="512"/>
      <c r="J33" s="265"/>
      <c r="K33" s="146"/>
      <c r="L33" s="132"/>
      <c r="M33" s="51">
        <v>3</v>
      </c>
      <c r="N33" s="51"/>
      <c r="O33" s="512"/>
      <c r="P33" s="139"/>
      <c r="Q33" s="146"/>
      <c r="R33" s="132"/>
      <c r="S33" s="51">
        <v>3</v>
      </c>
      <c r="T33" s="51"/>
      <c r="U33" s="386"/>
      <c r="V33" s="143"/>
      <c r="W33" s="146"/>
      <c r="X33" s="405"/>
      <c r="Y33" s="51">
        <v>3</v>
      </c>
      <c r="Z33" s="51"/>
      <c r="AA33" s="520"/>
      <c r="AB33" s="208"/>
      <c r="AC33" s="138"/>
      <c r="AD33" s="133"/>
      <c r="AE33" s="706"/>
    </row>
    <row r="34" spans="1:31" ht="16.2" customHeight="1" thickTop="1">
      <c r="A34" s="51">
        <v>4</v>
      </c>
      <c r="B34" s="51"/>
      <c r="C34" s="523" t="s">
        <v>692</v>
      </c>
      <c r="D34" s="535">
        <f xml:space="preserve"> SUM(D31:D33)</f>
        <v>2700</v>
      </c>
      <c r="E34" s="28"/>
      <c r="F34" s="75">
        <f>SUM(F31:F33)</f>
        <v>0</v>
      </c>
      <c r="G34" s="51">
        <v>4</v>
      </c>
      <c r="H34" s="51"/>
      <c r="I34" s="523" t="s">
        <v>692</v>
      </c>
      <c r="J34" s="535">
        <f xml:space="preserve"> SUM(J31:J33)</f>
        <v>2300</v>
      </c>
      <c r="K34" s="28"/>
      <c r="L34" s="75">
        <f>SUM(L31:L33)</f>
        <v>0</v>
      </c>
      <c r="M34" s="51">
        <v>4</v>
      </c>
      <c r="N34" s="51"/>
      <c r="O34" s="523" t="s">
        <v>692</v>
      </c>
      <c r="P34" s="535">
        <f xml:space="preserve"> SUM(P31:P33)</f>
        <v>2700</v>
      </c>
      <c r="Q34" s="28"/>
      <c r="R34" s="75">
        <f>SUM(R31:R33)</f>
        <v>0</v>
      </c>
      <c r="S34" s="51">
        <v>4</v>
      </c>
      <c r="T34" s="51"/>
      <c r="U34" s="523" t="s">
        <v>692</v>
      </c>
      <c r="V34" s="535">
        <f xml:space="preserve"> SUM(V31:V33)</f>
        <v>3900</v>
      </c>
      <c r="W34" s="28"/>
      <c r="X34" s="75">
        <f>SUM(X31:X33)</f>
        <v>0</v>
      </c>
      <c r="Y34" s="51">
        <v>4</v>
      </c>
      <c r="Z34" s="51"/>
      <c r="AA34" s="523" t="s">
        <v>692</v>
      </c>
      <c r="AB34" s="535">
        <f>SUM(AB31:AB33)</f>
        <v>0</v>
      </c>
      <c r="AC34" s="28"/>
      <c r="AD34" s="92">
        <f>SUM(AD31:AD33)</f>
        <v>0</v>
      </c>
      <c r="AE34" s="524">
        <f>D34+J34+P34+V34+AB34</f>
        <v>11600</v>
      </c>
    </row>
    <row r="35" spans="1:31" ht="16.2" customHeight="1">
      <c r="A35" s="51">
        <v>9</v>
      </c>
      <c r="B35" s="51"/>
      <c r="G35" s="51">
        <v>9</v>
      </c>
      <c r="H35" s="51"/>
      <c r="L35" s="224"/>
      <c r="M35" s="51">
        <v>9</v>
      </c>
      <c r="N35" s="51"/>
      <c r="O35" s="489"/>
      <c r="P35" s="489"/>
      <c r="Q35" s="217"/>
      <c r="R35" s="224"/>
      <c r="S35" s="51">
        <v>9</v>
      </c>
      <c r="T35" s="51"/>
      <c r="U35" s="489"/>
      <c r="V35" s="489"/>
      <c r="W35" s="217"/>
      <c r="X35" s="224"/>
      <c r="Y35" s="51">
        <v>9</v>
      </c>
      <c r="Z35" s="51"/>
      <c r="AA35" s="489"/>
      <c r="AB35" s="489"/>
      <c r="AC35" s="217"/>
      <c r="AD35" s="527" t="s">
        <v>692</v>
      </c>
      <c r="AE35" s="93">
        <f>A柏原市折込部数+M柏原市折込部数+S柏原市折込部数+Y柏原市折込部数+AD34</f>
        <v>0</v>
      </c>
    </row>
    <row r="36" spans="1:31" ht="16.2" customHeight="1">
      <c r="C36" s="489"/>
      <c r="D36" s="489"/>
      <c r="E36" s="217"/>
      <c r="F36" s="224"/>
      <c r="G36" s="224"/>
      <c r="H36" s="224"/>
      <c r="I36" s="489"/>
      <c r="J36" s="489"/>
      <c r="K36" s="217"/>
      <c r="L36" s="224"/>
      <c r="M36" s="224"/>
      <c r="N36" s="224"/>
      <c r="O36" s="489"/>
      <c r="P36" s="489"/>
      <c r="Q36" s="217"/>
      <c r="R36" s="224"/>
      <c r="S36" s="224"/>
      <c r="T36" s="224"/>
      <c r="U36" s="489"/>
      <c r="V36" s="489"/>
      <c r="W36" s="217"/>
      <c r="X36" s="224"/>
      <c r="Y36" s="224"/>
      <c r="Z36" s="224"/>
      <c r="AA36" s="489"/>
      <c r="AB36" s="489"/>
      <c r="AC36" s="217"/>
      <c r="AD36" s="224"/>
      <c r="AE36" s="489"/>
    </row>
    <row r="37" spans="1:31" ht="16.2" customHeight="1">
      <c r="C37" s="489"/>
      <c r="D37" s="489"/>
      <c r="E37" s="217"/>
      <c r="F37" s="224"/>
      <c r="G37" s="224"/>
      <c r="H37" s="224"/>
      <c r="I37" s="489"/>
      <c r="J37" s="489"/>
      <c r="K37" s="217"/>
      <c r="L37" s="224"/>
      <c r="M37" s="224"/>
      <c r="N37" s="224"/>
      <c r="O37" s="489"/>
      <c r="P37" s="489"/>
      <c r="Q37" s="217"/>
      <c r="R37" s="224"/>
      <c r="S37" s="224"/>
      <c r="T37" s="224"/>
      <c r="U37" s="489"/>
      <c r="V37" s="489"/>
      <c r="W37" s="217"/>
      <c r="X37" s="224"/>
      <c r="Y37" s="224"/>
      <c r="Z37" s="224"/>
      <c r="AA37" s="489"/>
      <c r="AB37" s="489"/>
      <c r="AC37" s="217"/>
      <c r="AD37" s="224"/>
      <c r="AE37" s="489"/>
    </row>
    <row r="38" spans="1:31" ht="16.2" customHeight="1">
      <c r="C38" s="489"/>
      <c r="D38" s="489"/>
      <c r="E38" s="217"/>
      <c r="F38" s="224"/>
      <c r="G38" s="224"/>
      <c r="H38" s="224"/>
      <c r="I38" s="489"/>
      <c r="J38" s="489"/>
      <c r="K38" s="217"/>
      <c r="L38" s="224"/>
      <c r="M38" s="224"/>
      <c r="N38" s="224"/>
      <c r="O38" s="489"/>
      <c r="P38" s="489"/>
      <c r="Q38" s="217"/>
      <c r="R38" s="224"/>
      <c r="S38" s="224"/>
      <c r="T38" s="224"/>
      <c r="U38" s="489"/>
      <c r="V38" s="489"/>
      <c r="W38" s="217"/>
      <c r="X38" s="224"/>
      <c r="Y38" s="224"/>
      <c r="Z38" s="224"/>
      <c r="AA38" s="489"/>
      <c r="AB38" s="489"/>
      <c r="AC38" s="217"/>
      <c r="AD38" s="224"/>
      <c r="AE38" s="489"/>
    </row>
    <row r="39" spans="1:31" ht="16.2" customHeight="1">
      <c r="C39" s="489"/>
      <c r="D39" s="489"/>
      <c r="E39" s="217"/>
      <c r="F39" s="224"/>
      <c r="G39" s="224"/>
      <c r="H39" s="224"/>
      <c r="I39" s="489"/>
      <c r="J39" s="489"/>
      <c r="K39" s="217"/>
      <c r="L39" s="224"/>
      <c r="M39" s="224"/>
      <c r="N39" s="224"/>
      <c r="O39" s="489"/>
      <c r="P39" s="489"/>
      <c r="Q39" s="217"/>
      <c r="R39" s="224"/>
      <c r="S39" s="224"/>
      <c r="T39" s="224"/>
      <c r="U39" s="489"/>
      <c r="V39" s="489"/>
      <c r="W39" s="217"/>
      <c r="X39" s="224"/>
      <c r="Y39" s="224"/>
      <c r="Z39" s="224"/>
      <c r="AA39" s="489"/>
      <c r="AB39" s="489"/>
      <c r="AC39" s="217"/>
      <c r="AD39" s="224"/>
      <c r="AE39" s="489"/>
    </row>
    <row r="40" spans="1:31" ht="16.2" customHeight="1">
      <c r="C40" s="489"/>
      <c r="D40" s="489"/>
      <c r="E40" s="217"/>
      <c r="F40" s="224"/>
      <c r="G40" s="224"/>
      <c r="H40" s="224"/>
      <c r="I40" s="489"/>
      <c r="J40" s="489"/>
      <c r="K40" s="217"/>
      <c r="L40" s="224"/>
      <c r="M40" s="224"/>
      <c r="N40" s="224"/>
      <c r="O40" s="489"/>
      <c r="P40" s="489"/>
      <c r="Q40" s="217"/>
      <c r="R40" s="224"/>
      <c r="S40" s="224"/>
      <c r="T40" s="224"/>
      <c r="U40" s="489"/>
      <c r="V40" s="489"/>
      <c r="W40" s="217"/>
      <c r="X40" s="224"/>
      <c r="Y40" s="224"/>
      <c r="Z40" s="224"/>
      <c r="AA40" s="489"/>
      <c r="AB40" s="489"/>
      <c r="AC40" s="217"/>
      <c r="AD40" s="224"/>
      <c r="AE40" s="489"/>
    </row>
    <row r="41" spans="1:31" ht="16.2" customHeight="1">
      <c r="C41" s="489"/>
      <c r="D41" s="489"/>
      <c r="E41" s="217"/>
      <c r="F41" s="224"/>
      <c r="G41" s="224"/>
      <c r="H41" s="224"/>
      <c r="I41" s="489"/>
      <c r="J41" s="489"/>
      <c r="K41" s="217"/>
      <c r="L41" s="224"/>
      <c r="M41" s="224"/>
      <c r="N41" s="224"/>
      <c r="O41" s="489"/>
      <c r="P41" s="489"/>
      <c r="Q41" s="217"/>
      <c r="R41" s="224"/>
      <c r="S41" s="224"/>
      <c r="T41" s="224"/>
      <c r="U41" s="489"/>
      <c r="V41" s="489"/>
      <c r="W41" s="217"/>
      <c r="X41" s="224"/>
      <c r="Y41" s="224"/>
      <c r="Z41" s="224"/>
      <c r="AA41" s="489"/>
      <c r="AB41" s="489"/>
      <c r="AC41" s="217"/>
      <c r="AD41" s="224"/>
      <c r="AE41" s="489"/>
    </row>
    <row r="42" spans="1:31" ht="16.2" customHeight="1">
      <c r="C42" s="489"/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17"/>
      <c r="R42" s="224"/>
      <c r="S42" s="224"/>
      <c r="T42" s="224"/>
      <c r="U42" s="489"/>
      <c r="V42" s="489"/>
      <c r="W42" s="217"/>
      <c r="X42" s="224"/>
      <c r="Y42" s="224"/>
      <c r="Z42" s="224"/>
      <c r="AA42" s="489"/>
      <c r="AB42" s="489"/>
      <c r="AC42" s="217"/>
      <c r="AD42" s="224"/>
      <c r="AE42" s="489"/>
    </row>
    <row r="43" spans="1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17"/>
      <c r="R43" s="224"/>
      <c r="S43" s="224"/>
      <c r="T43" s="224"/>
      <c r="U43" s="489"/>
      <c r="V43" s="489"/>
      <c r="W43" s="217"/>
      <c r="X43" s="224"/>
      <c r="Y43" s="224"/>
      <c r="Z43" s="224"/>
      <c r="AA43" s="489"/>
      <c r="AB43" s="489"/>
      <c r="AC43" s="217"/>
      <c r="AD43" s="224"/>
      <c r="AE43" s="489"/>
    </row>
    <row r="44" spans="1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17"/>
      <c r="R44" s="224"/>
      <c r="S44" s="224"/>
      <c r="T44" s="224"/>
      <c r="U44" s="489"/>
      <c r="V44" s="489"/>
      <c r="W44" s="217"/>
      <c r="X44" s="224"/>
      <c r="Y44" s="224"/>
      <c r="Z44" s="224"/>
      <c r="AA44" s="489"/>
      <c r="AB44" s="489"/>
      <c r="AC44" s="217"/>
      <c r="AD44" s="224"/>
      <c r="AE44" s="489"/>
    </row>
    <row r="45" spans="1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17"/>
      <c r="R45" s="224"/>
      <c r="S45" s="224"/>
      <c r="T45" s="224"/>
      <c r="U45" s="489"/>
      <c r="V45" s="489"/>
      <c r="W45" s="217"/>
      <c r="X45" s="224"/>
      <c r="Y45" s="224"/>
      <c r="Z45" s="224"/>
      <c r="AA45" s="489"/>
      <c r="AB45" s="489"/>
      <c r="AC45" s="217"/>
      <c r="AD45" s="224"/>
      <c r="AE45" s="489"/>
    </row>
    <row r="46" spans="1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17"/>
      <c r="R46" s="224"/>
      <c r="S46" s="224"/>
      <c r="T46" s="224"/>
      <c r="U46" s="489"/>
      <c r="V46" s="489"/>
      <c r="W46" s="217"/>
      <c r="X46" s="224"/>
      <c r="Y46" s="224"/>
      <c r="Z46" s="224"/>
      <c r="AA46" s="489"/>
      <c r="AB46" s="489"/>
      <c r="AC46" s="217"/>
      <c r="AD46" s="224"/>
      <c r="AE46" s="489"/>
    </row>
    <row r="47" spans="1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17"/>
      <c r="R47" s="224"/>
      <c r="S47" s="224"/>
      <c r="T47" s="224"/>
      <c r="U47" s="489"/>
      <c r="V47" s="489"/>
      <c r="W47" s="217"/>
      <c r="X47" s="224"/>
      <c r="Y47" s="224"/>
      <c r="Z47" s="224"/>
      <c r="AA47" s="489"/>
      <c r="AB47" s="489"/>
      <c r="AC47" s="217"/>
      <c r="AD47" s="224"/>
      <c r="AE47" s="489"/>
    </row>
    <row r="48" spans="1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17"/>
      <c r="R48" s="224"/>
      <c r="S48" s="224"/>
      <c r="T48" s="224"/>
      <c r="U48" s="489"/>
      <c r="V48" s="489"/>
      <c r="W48" s="217"/>
      <c r="X48" s="224"/>
      <c r="Y48" s="224"/>
      <c r="Z48" s="224"/>
      <c r="AA48" s="489"/>
      <c r="AB48" s="489"/>
      <c r="AC48" s="217"/>
      <c r="AD48" s="224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17"/>
      <c r="R49" s="224"/>
      <c r="S49" s="224"/>
      <c r="T49" s="224"/>
      <c r="U49" s="489"/>
      <c r="V49" s="489"/>
      <c r="W49" s="217"/>
      <c r="X49" s="224"/>
      <c r="Y49" s="224"/>
      <c r="Z49" s="224"/>
      <c r="AA49" s="489"/>
      <c r="AB49" s="489"/>
      <c r="AC49" s="217"/>
      <c r="AD49" s="224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17"/>
      <c r="R50" s="224"/>
      <c r="S50" s="224"/>
      <c r="T50" s="224"/>
      <c r="U50" s="489"/>
      <c r="V50" s="489"/>
      <c r="W50" s="217"/>
      <c r="X50" s="224"/>
      <c r="Y50" s="224"/>
      <c r="Z50" s="224"/>
      <c r="AA50" s="489"/>
      <c r="AB50" s="489"/>
      <c r="AC50" s="217"/>
      <c r="AD50" s="224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17"/>
      <c r="R51" s="224"/>
      <c r="S51" s="224"/>
      <c r="T51" s="224"/>
      <c r="U51" s="489"/>
      <c r="V51" s="489"/>
      <c r="W51" s="217"/>
      <c r="X51" s="224"/>
      <c r="Y51" s="224"/>
      <c r="Z51" s="224"/>
      <c r="AA51" s="489"/>
      <c r="AB51" s="489"/>
      <c r="AC51" s="217"/>
      <c r="AD51" s="224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17"/>
      <c r="R52" s="224"/>
      <c r="S52" s="224"/>
      <c r="T52" s="224"/>
      <c r="U52" s="489"/>
      <c r="V52" s="489"/>
      <c r="W52" s="217"/>
      <c r="X52" s="224"/>
      <c r="Y52" s="224"/>
      <c r="Z52" s="224"/>
      <c r="AA52" s="489"/>
      <c r="AB52" s="489"/>
      <c r="AC52" s="217"/>
      <c r="AD52" s="224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17"/>
      <c r="R53" s="224"/>
      <c r="S53" s="224"/>
      <c r="T53" s="224"/>
      <c r="U53" s="489"/>
      <c r="V53" s="489"/>
      <c r="W53" s="217"/>
      <c r="X53" s="224"/>
      <c r="Y53" s="224"/>
      <c r="Z53" s="224"/>
      <c r="AA53" s="489"/>
      <c r="AB53" s="489"/>
      <c r="AC53" s="217"/>
      <c r="AD53" s="224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17"/>
      <c r="R54" s="224"/>
      <c r="S54" s="224"/>
      <c r="T54" s="224"/>
      <c r="U54" s="489"/>
      <c r="V54" s="489"/>
      <c r="W54" s="217"/>
      <c r="X54" s="224"/>
      <c r="Y54" s="224"/>
      <c r="Z54" s="224"/>
      <c r="AA54" s="489"/>
      <c r="AB54" s="489"/>
      <c r="AC54" s="217"/>
      <c r="AD54" s="224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17"/>
      <c r="R55" s="224"/>
      <c r="S55" s="224"/>
      <c r="T55" s="224"/>
      <c r="U55" s="489"/>
      <c r="V55" s="489"/>
      <c r="W55" s="217"/>
      <c r="X55" s="224"/>
      <c r="Y55" s="224"/>
      <c r="Z55" s="224"/>
      <c r="AA55" s="489"/>
      <c r="AB55" s="489"/>
      <c r="AC55" s="217"/>
      <c r="AD55" s="224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17"/>
      <c r="R56" s="224"/>
      <c r="S56" s="224"/>
      <c r="T56" s="224"/>
      <c r="U56" s="489"/>
      <c r="V56" s="489"/>
      <c r="W56" s="217"/>
      <c r="X56" s="224"/>
      <c r="Y56" s="224"/>
      <c r="Z56" s="224"/>
      <c r="AA56" s="489"/>
      <c r="AB56" s="489"/>
      <c r="AC56" s="217"/>
      <c r="AD56" s="224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17"/>
      <c r="R57" s="224"/>
      <c r="S57" s="224"/>
      <c r="T57" s="224"/>
      <c r="U57" s="489"/>
      <c r="V57" s="489"/>
      <c r="W57" s="217"/>
      <c r="X57" s="224"/>
      <c r="Y57" s="224"/>
      <c r="Z57" s="224"/>
      <c r="AA57" s="489"/>
      <c r="AB57" s="489"/>
      <c r="AC57" s="217"/>
      <c r="AD57" s="224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17"/>
      <c r="R58" s="224"/>
      <c r="S58" s="224"/>
      <c r="T58" s="224"/>
      <c r="U58" s="489"/>
      <c r="V58" s="489"/>
      <c r="W58" s="217"/>
      <c r="X58" s="224"/>
      <c r="Y58" s="224"/>
      <c r="Z58" s="224"/>
      <c r="AA58" s="489"/>
      <c r="AB58" s="489"/>
      <c r="AC58" s="217"/>
      <c r="AD58" s="224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17"/>
      <c r="R59" s="224"/>
      <c r="S59" s="224"/>
      <c r="T59" s="224"/>
      <c r="U59" s="489"/>
      <c r="V59" s="489"/>
      <c r="W59" s="217"/>
      <c r="X59" s="224"/>
      <c r="Y59" s="224"/>
      <c r="Z59" s="224"/>
      <c r="AA59" s="489"/>
      <c r="AB59" s="489"/>
      <c r="AC59" s="217"/>
      <c r="AD59" s="224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17"/>
      <c r="R60" s="224"/>
      <c r="S60" s="224"/>
      <c r="T60" s="224"/>
      <c r="U60" s="489"/>
      <c r="V60" s="489"/>
      <c r="W60" s="217"/>
      <c r="X60" s="224"/>
      <c r="Y60" s="224"/>
      <c r="Z60" s="224"/>
      <c r="AA60" s="489"/>
      <c r="AB60" s="489"/>
      <c r="AC60" s="217"/>
      <c r="AD60" s="224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17"/>
      <c r="R61" s="224"/>
      <c r="S61" s="224"/>
      <c r="T61" s="224"/>
      <c r="U61" s="489"/>
      <c r="V61" s="489"/>
      <c r="W61" s="217"/>
      <c r="X61" s="224"/>
      <c r="Y61" s="224"/>
      <c r="Z61" s="224"/>
      <c r="AA61" s="489"/>
      <c r="AB61" s="489"/>
      <c r="AC61" s="217"/>
      <c r="AD61" s="224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17"/>
      <c r="R62" s="224"/>
      <c r="S62" s="224"/>
      <c r="T62" s="224"/>
      <c r="U62" s="489"/>
      <c r="V62" s="489"/>
      <c r="W62" s="217"/>
      <c r="X62" s="224"/>
      <c r="Y62" s="224"/>
      <c r="Z62" s="224"/>
      <c r="AA62" s="489"/>
      <c r="AB62" s="489"/>
      <c r="AC62" s="217"/>
      <c r="AD62" s="224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17"/>
      <c r="R63" s="224"/>
      <c r="S63" s="224"/>
      <c r="T63" s="224"/>
      <c r="U63" s="489"/>
      <c r="V63" s="489"/>
      <c r="W63" s="217"/>
      <c r="X63" s="224"/>
      <c r="Y63" s="224"/>
      <c r="Z63" s="224"/>
      <c r="AA63" s="489"/>
      <c r="AB63" s="489"/>
      <c r="AC63" s="217"/>
      <c r="AD63" s="224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17"/>
      <c r="R64" s="224"/>
      <c r="S64" s="224"/>
      <c r="T64" s="224"/>
      <c r="U64" s="489"/>
      <c r="V64" s="489"/>
      <c r="W64" s="217"/>
      <c r="X64" s="224"/>
      <c r="Y64" s="224"/>
      <c r="Z64" s="224"/>
      <c r="AA64" s="489"/>
      <c r="AB64" s="489"/>
      <c r="AC64" s="217"/>
      <c r="AD64" s="224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17"/>
      <c r="R65" s="224"/>
      <c r="S65" s="224"/>
      <c r="T65" s="224"/>
      <c r="U65" s="489"/>
      <c r="V65" s="489"/>
      <c r="W65" s="217"/>
      <c r="X65" s="224"/>
      <c r="Y65" s="224"/>
      <c r="Z65" s="224"/>
      <c r="AA65" s="489"/>
      <c r="AB65" s="489"/>
      <c r="AC65" s="217"/>
      <c r="AD65" s="224"/>
      <c r="AE65" s="489"/>
    </row>
    <row r="66" spans="3:31" ht="16.2" customHeight="1">
      <c r="C66" s="489"/>
      <c r="D66" s="489"/>
      <c r="E66" s="217"/>
      <c r="F66" s="224"/>
      <c r="G66" s="224"/>
      <c r="H66" s="224"/>
      <c r="I66" s="489"/>
      <c r="J66" s="489"/>
      <c r="K66" s="217"/>
      <c r="L66" s="224"/>
      <c r="M66" s="224"/>
      <c r="N66" s="224"/>
      <c r="O66" s="489"/>
      <c r="P66" s="489"/>
      <c r="Q66" s="217"/>
      <c r="R66" s="224"/>
      <c r="S66" s="224"/>
      <c r="T66" s="224"/>
      <c r="U66" s="489"/>
      <c r="V66" s="489"/>
      <c r="W66" s="217"/>
      <c r="X66" s="224"/>
      <c r="Y66" s="224"/>
      <c r="Z66" s="224"/>
      <c r="AA66" s="489"/>
      <c r="AB66" s="489"/>
      <c r="AC66" s="217"/>
      <c r="AD66" s="224"/>
      <c r="AE66" s="489"/>
    </row>
    <row r="67" spans="3:31" ht="16.2" customHeight="1">
      <c r="C67" s="489"/>
      <c r="D67" s="489"/>
      <c r="E67" s="217"/>
      <c r="F67" s="224"/>
      <c r="G67" s="224"/>
      <c r="H67" s="224"/>
      <c r="I67" s="489"/>
      <c r="J67" s="489"/>
      <c r="K67" s="217"/>
      <c r="L67" s="224"/>
      <c r="M67" s="224"/>
      <c r="N67" s="224"/>
      <c r="O67" s="489"/>
      <c r="P67" s="489"/>
      <c r="Q67" s="217"/>
      <c r="R67" s="224"/>
      <c r="S67" s="224"/>
      <c r="T67" s="224"/>
      <c r="U67" s="489"/>
      <c r="V67" s="489"/>
      <c r="W67" s="217"/>
      <c r="X67" s="224"/>
      <c r="Y67" s="224"/>
      <c r="Z67" s="224"/>
      <c r="AA67" s="489"/>
      <c r="AB67" s="489"/>
      <c r="AC67" s="217"/>
      <c r="AD67" s="224"/>
      <c r="AE67" s="489"/>
    </row>
    <row r="68" spans="3:31" ht="16.2" customHeight="1">
      <c r="C68" s="489"/>
      <c r="D68" s="489"/>
      <c r="E68" s="217"/>
      <c r="F68" s="224"/>
      <c r="G68" s="224"/>
      <c r="H68" s="224"/>
      <c r="I68" s="489"/>
      <c r="J68" s="489"/>
      <c r="K68" s="217"/>
      <c r="L68" s="224"/>
      <c r="M68" s="224"/>
      <c r="N68" s="224"/>
      <c r="O68" s="489"/>
      <c r="P68" s="489"/>
      <c r="Q68" s="217"/>
      <c r="R68" s="224"/>
      <c r="S68" s="224"/>
      <c r="T68" s="224"/>
      <c r="U68" s="489"/>
      <c r="V68" s="489"/>
      <c r="W68" s="217"/>
      <c r="X68" s="224"/>
      <c r="Y68" s="224"/>
      <c r="Z68" s="224"/>
      <c r="AA68" s="489"/>
      <c r="AB68" s="489"/>
      <c r="AC68" s="217"/>
      <c r="AD68" s="224"/>
      <c r="AE68" s="489"/>
    </row>
    <row r="69" spans="3:31" ht="16.2" customHeight="1">
      <c r="C69" s="489"/>
      <c r="D69" s="489"/>
      <c r="E69" s="217"/>
      <c r="F69" s="224"/>
      <c r="G69" s="224"/>
      <c r="H69" s="224"/>
      <c r="I69" s="489"/>
      <c r="J69" s="489"/>
      <c r="K69" s="217"/>
      <c r="L69" s="224"/>
      <c r="M69" s="224"/>
      <c r="N69" s="224"/>
      <c r="O69" s="489"/>
      <c r="P69" s="489"/>
      <c r="Q69" s="217"/>
      <c r="R69" s="224"/>
      <c r="S69" s="224"/>
      <c r="T69" s="224"/>
      <c r="U69" s="489"/>
      <c r="V69" s="489"/>
      <c r="W69" s="217"/>
      <c r="X69" s="224"/>
      <c r="Y69" s="224"/>
      <c r="Z69" s="224"/>
      <c r="AA69" s="489"/>
      <c r="AB69" s="489"/>
      <c r="AC69" s="217"/>
      <c r="AD69" s="224"/>
      <c r="AE69" s="489"/>
    </row>
    <row r="70" spans="3:31" ht="16.2" customHeight="1">
      <c r="C70" s="489"/>
      <c r="D70" s="489"/>
      <c r="E70" s="217"/>
      <c r="F70" s="224"/>
      <c r="G70" s="224"/>
      <c r="H70" s="224"/>
      <c r="I70" s="489"/>
      <c r="J70" s="489"/>
      <c r="K70" s="217"/>
      <c r="L70" s="224"/>
      <c r="M70" s="224"/>
      <c r="N70" s="224"/>
      <c r="O70" s="489"/>
      <c r="P70" s="489"/>
      <c r="Q70" s="217"/>
      <c r="R70" s="224"/>
      <c r="S70" s="224"/>
      <c r="T70" s="224"/>
      <c r="U70" s="489"/>
      <c r="V70" s="489"/>
      <c r="W70" s="217"/>
      <c r="X70" s="224"/>
      <c r="Y70" s="224"/>
      <c r="Z70" s="224"/>
      <c r="AA70" s="489"/>
      <c r="AB70" s="489"/>
      <c r="AC70" s="217"/>
      <c r="AD70" s="224"/>
      <c r="AE70" s="489"/>
    </row>
    <row r="71" spans="3:31" ht="16.2" customHeight="1">
      <c r="C71" s="489"/>
      <c r="D71" s="489"/>
      <c r="E71" s="217"/>
      <c r="F71" s="224"/>
      <c r="G71" s="224"/>
      <c r="H71" s="224"/>
      <c r="I71" s="489"/>
      <c r="J71" s="489"/>
      <c r="K71" s="217"/>
      <c r="L71" s="224"/>
      <c r="M71" s="224"/>
      <c r="N71" s="224"/>
      <c r="O71" s="489"/>
      <c r="P71" s="489"/>
      <c r="Q71" s="217"/>
      <c r="R71" s="224"/>
      <c r="S71" s="224"/>
      <c r="T71" s="224"/>
      <c r="U71" s="489"/>
      <c r="V71" s="489"/>
      <c r="W71" s="217"/>
      <c r="X71" s="224"/>
      <c r="Y71" s="224"/>
      <c r="Z71" s="224"/>
      <c r="AA71" s="489"/>
      <c r="AB71" s="489"/>
      <c r="AC71" s="217"/>
      <c r="AD71" s="224"/>
      <c r="AE71" s="489"/>
    </row>
    <row r="72" spans="3:31" ht="16.2" customHeight="1">
      <c r="C72" s="489"/>
      <c r="D72" s="489"/>
      <c r="E72" s="217"/>
      <c r="F72" s="224"/>
      <c r="G72" s="224"/>
      <c r="H72" s="224"/>
      <c r="I72" s="489"/>
      <c r="J72" s="489"/>
      <c r="K72" s="217"/>
      <c r="L72" s="224"/>
      <c r="M72" s="224"/>
      <c r="N72" s="224"/>
      <c r="O72" s="489"/>
      <c r="P72" s="489"/>
      <c r="Q72" s="217"/>
      <c r="R72" s="224"/>
      <c r="S72" s="224"/>
      <c r="T72" s="224"/>
      <c r="U72" s="489"/>
      <c r="V72" s="489"/>
      <c r="W72" s="217"/>
      <c r="X72" s="224"/>
      <c r="Y72" s="224"/>
      <c r="Z72" s="224"/>
      <c r="AA72" s="489"/>
      <c r="AB72" s="489"/>
      <c r="AC72" s="217"/>
      <c r="AD72" s="224"/>
      <c r="AE72" s="489"/>
    </row>
    <row r="73" spans="3:31" ht="16.2" customHeight="1">
      <c r="C73" s="489"/>
      <c r="D73" s="489"/>
      <c r="E73" s="217"/>
      <c r="F73" s="224"/>
      <c r="G73" s="224"/>
      <c r="H73" s="224"/>
      <c r="I73" s="489"/>
      <c r="J73" s="489"/>
      <c r="K73" s="217"/>
      <c r="L73" s="224"/>
      <c r="M73" s="224"/>
      <c r="N73" s="224"/>
      <c r="O73" s="489"/>
      <c r="P73" s="489"/>
      <c r="Q73" s="217"/>
      <c r="R73" s="224"/>
      <c r="S73" s="224"/>
      <c r="T73" s="224"/>
      <c r="U73" s="489"/>
      <c r="V73" s="489"/>
      <c r="W73" s="217"/>
      <c r="X73" s="224"/>
      <c r="Y73" s="224"/>
      <c r="Z73" s="224"/>
      <c r="AA73" s="489"/>
      <c r="AB73" s="489"/>
      <c r="AC73" s="217"/>
      <c r="AD73" s="224"/>
      <c r="AE73" s="489"/>
    </row>
    <row r="74" spans="3:31" ht="16.2" customHeight="1">
      <c r="C74" s="489"/>
      <c r="D74" s="489"/>
      <c r="E74" s="217"/>
      <c r="F74" s="224"/>
      <c r="G74" s="224"/>
      <c r="H74" s="224"/>
      <c r="I74" s="489"/>
      <c r="J74" s="489"/>
      <c r="K74" s="217"/>
      <c r="L74" s="224"/>
      <c r="M74" s="224"/>
      <c r="N74" s="224"/>
      <c r="O74" s="489"/>
      <c r="P74" s="489"/>
      <c r="Q74" s="217"/>
      <c r="R74" s="224"/>
      <c r="S74" s="224"/>
      <c r="T74" s="224"/>
      <c r="U74" s="489"/>
      <c r="V74" s="489"/>
      <c r="W74" s="217"/>
      <c r="X74" s="224"/>
      <c r="Y74" s="224"/>
      <c r="Z74" s="224"/>
      <c r="AA74" s="489"/>
      <c r="AB74" s="489"/>
      <c r="AC74" s="217"/>
      <c r="AD74" s="224"/>
      <c r="AE74" s="489"/>
    </row>
    <row r="75" spans="3:31" ht="16.2" customHeight="1">
      <c r="C75" s="489"/>
      <c r="D75" s="489"/>
      <c r="E75" s="217"/>
      <c r="F75" s="224"/>
      <c r="G75" s="224"/>
      <c r="H75" s="224"/>
      <c r="I75" s="489"/>
      <c r="J75" s="489"/>
      <c r="K75" s="217"/>
      <c r="L75" s="224"/>
      <c r="M75" s="224"/>
      <c r="N75" s="224"/>
      <c r="O75" s="489"/>
      <c r="P75" s="489"/>
      <c r="Q75" s="217"/>
      <c r="R75" s="224"/>
      <c r="S75" s="224"/>
      <c r="T75" s="224"/>
      <c r="U75" s="489"/>
      <c r="V75" s="489"/>
      <c r="W75" s="217"/>
      <c r="X75" s="224"/>
      <c r="Y75" s="224"/>
      <c r="Z75" s="224"/>
      <c r="AA75" s="489"/>
      <c r="AB75" s="489"/>
      <c r="AC75" s="217"/>
      <c r="AD75" s="224"/>
      <c r="AE75" s="489"/>
    </row>
    <row r="76" spans="3:31" ht="16.2" customHeight="1">
      <c r="C76" s="489"/>
      <c r="D76" s="489"/>
      <c r="E76" s="217"/>
      <c r="F76" s="224"/>
      <c r="G76" s="224"/>
      <c r="H76" s="224"/>
      <c r="I76" s="489"/>
      <c r="J76" s="489"/>
      <c r="K76" s="217"/>
      <c r="L76" s="224"/>
      <c r="M76" s="224"/>
      <c r="N76" s="224"/>
      <c r="O76" s="489"/>
      <c r="P76" s="489"/>
      <c r="Q76" s="217"/>
      <c r="R76" s="224"/>
      <c r="S76" s="224"/>
      <c r="T76" s="224"/>
      <c r="U76" s="489"/>
      <c r="V76" s="489"/>
      <c r="W76" s="217"/>
      <c r="X76" s="224"/>
      <c r="Y76" s="224"/>
      <c r="Z76" s="224"/>
      <c r="AA76" s="489"/>
      <c r="AB76" s="489"/>
      <c r="AC76" s="217"/>
      <c r="AD76" s="224"/>
      <c r="AE76" s="489"/>
    </row>
    <row r="77" spans="3:31" ht="16.2" customHeight="1">
      <c r="C77" s="489"/>
      <c r="D77" s="489"/>
      <c r="E77" s="217"/>
      <c r="F77" s="224"/>
      <c r="G77" s="224"/>
      <c r="H77" s="224"/>
      <c r="I77" s="489"/>
      <c r="J77" s="489"/>
      <c r="K77" s="217"/>
      <c r="L77" s="224"/>
      <c r="M77" s="224"/>
      <c r="N77" s="224"/>
      <c r="O77" s="489"/>
      <c r="P77" s="489"/>
      <c r="Q77" s="217"/>
      <c r="R77" s="224"/>
      <c r="S77" s="224"/>
      <c r="T77" s="224"/>
      <c r="U77" s="489"/>
      <c r="V77" s="489"/>
      <c r="W77" s="217"/>
      <c r="X77" s="224"/>
      <c r="Y77" s="224"/>
      <c r="Z77" s="224"/>
      <c r="AA77" s="489"/>
      <c r="AB77" s="489"/>
      <c r="AC77" s="217"/>
      <c r="AD77" s="224"/>
      <c r="AE77" s="489"/>
    </row>
    <row r="78" spans="3:31" ht="16.2" customHeight="1">
      <c r="C78" s="489"/>
      <c r="D78" s="489"/>
      <c r="E78" s="217"/>
      <c r="F78" s="224"/>
      <c r="G78" s="224"/>
      <c r="H78" s="224"/>
      <c r="I78" s="489"/>
      <c r="J78" s="489"/>
      <c r="K78" s="217"/>
      <c r="L78" s="224"/>
      <c r="M78" s="224"/>
      <c r="N78" s="224"/>
      <c r="O78" s="489"/>
      <c r="P78" s="489"/>
      <c r="Q78" s="217"/>
      <c r="R78" s="224"/>
      <c r="S78" s="224"/>
      <c r="T78" s="224"/>
      <c r="U78" s="489"/>
      <c r="V78" s="489"/>
      <c r="W78" s="217"/>
      <c r="X78" s="224"/>
      <c r="Y78" s="224"/>
      <c r="Z78" s="224"/>
      <c r="AA78" s="489"/>
      <c r="AB78" s="489"/>
      <c r="AC78" s="217"/>
      <c r="AD78" s="224"/>
      <c r="AE78" s="489"/>
    </row>
    <row r="79" spans="3:31" ht="16.2" customHeight="1">
      <c r="C79" s="489"/>
      <c r="D79" s="489"/>
      <c r="E79" s="217"/>
      <c r="F79" s="224"/>
      <c r="G79" s="224"/>
      <c r="H79" s="224"/>
      <c r="I79" s="489"/>
      <c r="J79" s="489"/>
      <c r="K79" s="217"/>
      <c r="L79" s="224"/>
      <c r="M79" s="224"/>
      <c r="N79" s="224"/>
      <c r="O79" s="489"/>
      <c r="P79" s="489"/>
      <c r="Q79" s="217"/>
      <c r="R79" s="224"/>
      <c r="S79" s="224"/>
      <c r="T79" s="224"/>
      <c r="U79" s="489"/>
      <c r="V79" s="489"/>
      <c r="W79" s="217"/>
      <c r="X79" s="224"/>
      <c r="Y79" s="224"/>
      <c r="Z79" s="224"/>
      <c r="AA79" s="489"/>
      <c r="AB79" s="489"/>
      <c r="AC79" s="217"/>
      <c r="AD79" s="224"/>
      <c r="AE79" s="489"/>
    </row>
    <row r="80" spans="3:31" ht="16.2" customHeight="1">
      <c r="C80" s="489"/>
      <c r="D80" s="489"/>
      <c r="E80" s="217"/>
      <c r="F80" s="224"/>
      <c r="G80" s="224"/>
      <c r="H80" s="224"/>
      <c r="I80" s="489"/>
      <c r="J80" s="489"/>
      <c r="K80" s="217"/>
      <c r="L80" s="224"/>
      <c r="M80" s="224"/>
      <c r="N80" s="224"/>
      <c r="O80" s="489"/>
      <c r="P80" s="489"/>
      <c r="Q80" s="217"/>
      <c r="R80" s="224"/>
      <c r="S80" s="224"/>
      <c r="T80" s="224"/>
      <c r="U80" s="489"/>
      <c r="V80" s="489"/>
      <c r="W80" s="217"/>
      <c r="X80" s="224"/>
      <c r="Y80" s="224"/>
      <c r="Z80" s="224"/>
      <c r="AA80" s="489"/>
      <c r="AB80" s="489"/>
      <c r="AC80" s="217"/>
      <c r="AD80" s="224"/>
      <c r="AE80" s="489"/>
    </row>
    <row r="81" spans="3:31" ht="16.2" customHeight="1">
      <c r="C81" s="489"/>
      <c r="D81" s="489"/>
      <c r="E81" s="217"/>
      <c r="F81" s="224"/>
      <c r="G81" s="224"/>
      <c r="H81" s="224"/>
      <c r="I81" s="489"/>
      <c r="J81" s="489"/>
      <c r="K81" s="217"/>
      <c r="L81" s="224"/>
      <c r="M81" s="224"/>
      <c r="N81" s="224"/>
      <c r="O81" s="489"/>
      <c r="P81" s="489"/>
      <c r="Q81" s="217"/>
      <c r="R81" s="224"/>
      <c r="S81" s="224"/>
      <c r="T81" s="224"/>
      <c r="U81" s="489"/>
      <c r="V81" s="489"/>
      <c r="W81" s="217"/>
      <c r="X81" s="224"/>
      <c r="Y81" s="224"/>
      <c r="Z81" s="224"/>
      <c r="AA81" s="489"/>
      <c r="AB81" s="489"/>
      <c r="AC81" s="217"/>
      <c r="AD81" s="224"/>
      <c r="AE81" s="489"/>
    </row>
    <row r="82" spans="3:31" ht="16.2" customHeight="1">
      <c r="C82" s="489"/>
      <c r="D82" s="489"/>
      <c r="E82" s="217"/>
      <c r="F82" s="224"/>
      <c r="G82" s="224"/>
      <c r="H82" s="224"/>
      <c r="I82" s="489"/>
      <c r="J82" s="489"/>
      <c r="K82" s="217"/>
      <c r="L82" s="224"/>
      <c r="M82" s="224"/>
      <c r="N82" s="224"/>
      <c r="O82" s="489"/>
      <c r="P82" s="489"/>
      <c r="Q82" s="217"/>
      <c r="R82" s="224"/>
      <c r="S82" s="224"/>
      <c r="T82" s="224"/>
      <c r="U82" s="489"/>
      <c r="V82" s="489"/>
      <c r="W82" s="217"/>
      <c r="X82" s="224"/>
      <c r="Y82" s="224"/>
      <c r="Z82" s="224"/>
      <c r="AA82" s="489"/>
      <c r="AB82" s="489"/>
      <c r="AC82" s="217"/>
      <c r="AD82" s="224"/>
      <c r="AE82" s="489"/>
    </row>
    <row r="83" spans="3:31" ht="16.2" customHeight="1">
      <c r="C83" s="489"/>
      <c r="D83" s="489"/>
      <c r="E83" s="217"/>
      <c r="F83" s="224"/>
      <c r="G83" s="224"/>
      <c r="H83" s="224"/>
      <c r="I83" s="489"/>
      <c r="J83" s="489"/>
      <c r="K83" s="217"/>
      <c r="L83" s="224"/>
      <c r="M83" s="224"/>
      <c r="N83" s="224"/>
      <c r="O83" s="489"/>
      <c r="P83" s="489"/>
      <c r="Q83" s="217"/>
      <c r="R83" s="224"/>
      <c r="S83" s="224"/>
      <c r="T83" s="224"/>
      <c r="U83" s="489"/>
      <c r="V83" s="489"/>
      <c r="W83" s="217"/>
      <c r="X83" s="224"/>
      <c r="Y83" s="224"/>
      <c r="Z83" s="224"/>
      <c r="AA83" s="489"/>
      <c r="AB83" s="489"/>
      <c r="AC83" s="217"/>
      <c r="AD83" s="224"/>
      <c r="AE83" s="489"/>
    </row>
    <row r="84" spans="3:31" ht="16.2" customHeight="1">
      <c r="C84" s="489"/>
      <c r="D84" s="489"/>
      <c r="E84" s="217"/>
      <c r="F84" s="224"/>
      <c r="G84" s="224"/>
      <c r="H84" s="224"/>
      <c r="I84" s="489"/>
      <c r="J84" s="489"/>
      <c r="K84" s="217"/>
      <c r="L84" s="224"/>
      <c r="M84" s="224"/>
      <c r="N84" s="224"/>
      <c r="O84" s="489"/>
      <c r="P84" s="489"/>
      <c r="Q84" s="217"/>
      <c r="R84" s="224"/>
      <c r="S84" s="224"/>
      <c r="T84" s="224"/>
      <c r="U84" s="489"/>
      <c r="V84" s="489"/>
      <c r="W84" s="217"/>
      <c r="X84" s="224"/>
      <c r="Y84" s="224"/>
      <c r="Z84" s="224"/>
      <c r="AA84" s="489"/>
      <c r="AB84" s="489"/>
      <c r="AC84" s="217"/>
      <c r="AD84" s="224"/>
      <c r="AE84" s="489"/>
    </row>
    <row r="85" spans="3:31" ht="16.2" customHeight="1">
      <c r="C85" s="489"/>
      <c r="D85" s="489"/>
      <c r="E85" s="217"/>
      <c r="F85" s="224"/>
      <c r="G85" s="224"/>
      <c r="H85" s="224"/>
      <c r="I85" s="489"/>
      <c r="J85" s="489"/>
      <c r="K85" s="217"/>
      <c r="L85" s="224"/>
      <c r="M85" s="224"/>
      <c r="N85" s="224"/>
      <c r="O85" s="489"/>
      <c r="P85" s="489"/>
      <c r="Q85" s="217"/>
      <c r="R85" s="224"/>
      <c r="S85" s="224"/>
      <c r="T85" s="224"/>
      <c r="U85" s="489"/>
      <c r="V85" s="489"/>
      <c r="W85" s="217"/>
      <c r="X85" s="224"/>
      <c r="Y85" s="224"/>
      <c r="Z85" s="224"/>
      <c r="AA85" s="489"/>
      <c r="AB85" s="489"/>
      <c r="AC85" s="217"/>
      <c r="AD85" s="224"/>
      <c r="AE85" s="489"/>
    </row>
    <row r="86" spans="3:31" ht="16.2" customHeight="1">
      <c r="C86" s="489"/>
      <c r="D86" s="489"/>
      <c r="E86" s="217"/>
      <c r="F86" s="224"/>
      <c r="G86" s="224"/>
      <c r="H86" s="224"/>
      <c r="I86" s="489"/>
      <c r="J86" s="489"/>
      <c r="K86" s="217"/>
      <c r="L86" s="224"/>
      <c r="M86" s="224"/>
      <c r="N86" s="224"/>
      <c r="O86" s="489"/>
      <c r="P86" s="489"/>
      <c r="Q86" s="217"/>
      <c r="R86" s="224"/>
      <c r="S86" s="224"/>
      <c r="T86" s="224"/>
      <c r="U86" s="489"/>
      <c r="V86" s="489"/>
      <c r="W86" s="217"/>
      <c r="X86" s="224"/>
      <c r="Y86" s="224"/>
      <c r="Z86" s="224"/>
      <c r="AA86" s="489"/>
      <c r="AB86" s="489"/>
      <c r="AC86" s="217"/>
      <c r="AD86" s="224"/>
      <c r="AE86" s="489"/>
    </row>
    <row r="87" spans="3:31" ht="16.2" customHeight="1">
      <c r="C87" s="489"/>
      <c r="D87" s="489"/>
      <c r="E87" s="217"/>
      <c r="F87" s="224"/>
      <c r="G87" s="224"/>
      <c r="H87" s="224"/>
      <c r="I87" s="489"/>
      <c r="J87" s="489"/>
      <c r="K87" s="217"/>
      <c r="L87" s="224"/>
      <c r="M87" s="224"/>
      <c r="N87" s="224"/>
      <c r="O87" s="489"/>
      <c r="P87" s="489"/>
      <c r="Q87" s="217"/>
      <c r="R87" s="224"/>
      <c r="S87" s="224"/>
      <c r="T87" s="224"/>
      <c r="U87" s="489"/>
      <c r="V87" s="489"/>
      <c r="W87" s="217"/>
      <c r="X87" s="224"/>
      <c r="Y87" s="224"/>
      <c r="Z87" s="224"/>
      <c r="AA87" s="489"/>
      <c r="AB87" s="489"/>
      <c r="AC87" s="217"/>
      <c r="AD87" s="224"/>
      <c r="AE87" s="489"/>
    </row>
    <row r="88" spans="3:31" ht="16.2" customHeight="1">
      <c r="C88" s="489"/>
      <c r="D88" s="489"/>
      <c r="E88" s="217"/>
      <c r="F88" s="224"/>
      <c r="G88" s="224"/>
      <c r="H88" s="224"/>
      <c r="I88" s="489"/>
      <c r="J88" s="489"/>
      <c r="K88" s="217"/>
      <c r="L88" s="224"/>
      <c r="M88" s="224"/>
      <c r="N88" s="224"/>
      <c r="O88" s="489"/>
      <c r="P88" s="489"/>
      <c r="Q88" s="217"/>
      <c r="R88" s="224"/>
      <c r="S88" s="224"/>
      <c r="T88" s="224"/>
      <c r="U88" s="489"/>
      <c r="V88" s="489"/>
      <c r="W88" s="217"/>
      <c r="X88" s="224"/>
      <c r="Y88" s="224"/>
      <c r="Z88" s="224"/>
      <c r="AA88" s="489"/>
      <c r="AB88" s="489"/>
      <c r="AC88" s="217"/>
      <c r="AD88" s="224"/>
      <c r="AE88" s="489"/>
    </row>
    <row r="89" spans="3:31" ht="16.2" customHeight="1">
      <c r="C89" s="489"/>
      <c r="D89" s="489"/>
      <c r="E89" s="217"/>
      <c r="F89" s="224"/>
      <c r="G89" s="224"/>
      <c r="H89" s="224"/>
      <c r="I89" s="489"/>
      <c r="J89" s="489"/>
      <c r="K89" s="217"/>
      <c r="L89" s="224"/>
      <c r="M89" s="224"/>
      <c r="N89" s="224"/>
      <c r="O89" s="489"/>
      <c r="P89" s="489"/>
      <c r="Q89" s="217"/>
      <c r="R89" s="224"/>
      <c r="S89" s="224"/>
      <c r="T89" s="224"/>
      <c r="U89" s="489"/>
      <c r="V89" s="489"/>
      <c r="W89" s="217"/>
      <c r="X89" s="224"/>
      <c r="Y89" s="224"/>
      <c r="Z89" s="224"/>
      <c r="AA89" s="489"/>
      <c r="AB89" s="489"/>
      <c r="AC89" s="217"/>
      <c r="AD89" s="224"/>
      <c r="AE89" s="489"/>
    </row>
    <row r="90" spans="3:31" ht="16.2" customHeight="1">
      <c r="C90" s="489"/>
      <c r="D90" s="489"/>
      <c r="E90" s="217"/>
      <c r="F90" s="224"/>
      <c r="G90" s="224"/>
      <c r="H90" s="224"/>
      <c r="I90" s="489"/>
      <c r="J90" s="489"/>
      <c r="K90" s="217"/>
      <c r="L90" s="224"/>
      <c r="M90" s="224"/>
      <c r="N90" s="224"/>
      <c r="O90" s="489"/>
      <c r="P90" s="489"/>
      <c r="Q90" s="217"/>
      <c r="R90" s="224"/>
      <c r="S90" s="224"/>
      <c r="T90" s="224"/>
      <c r="U90" s="489"/>
      <c r="V90" s="489"/>
      <c r="W90" s="217"/>
      <c r="X90" s="224"/>
      <c r="Y90" s="224"/>
      <c r="Z90" s="224"/>
      <c r="AA90" s="489"/>
      <c r="AB90" s="489"/>
      <c r="AC90" s="217"/>
      <c r="AD90" s="224"/>
      <c r="AE90" s="489"/>
    </row>
    <row r="91" spans="3:31" ht="16.2" customHeight="1">
      <c r="C91" s="489"/>
      <c r="D91" s="489"/>
      <c r="E91" s="217"/>
      <c r="F91" s="224"/>
      <c r="G91" s="224"/>
      <c r="H91" s="224"/>
      <c r="I91" s="489"/>
      <c r="J91" s="489"/>
      <c r="K91" s="217"/>
      <c r="L91" s="224"/>
      <c r="M91" s="224"/>
      <c r="N91" s="224"/>
      <c r="O91" s="489"/>
      <c r="P91" s="489"/>
      <c r="Q91" s="217"/>
      <c r="R91" s="224"/>
      <c r="S91" s="224"/>
      <c r="T91" s="224"/>
      <c r="U91" s="489"/>
      <c r="V91" s="489"/>
      <c r="W91" s="217"/>
      <c r="X91" s="224"/>
      <c r="Y91" s="224"/>
      <c r="Z91" s="224"/>
      <c r="AA91" s="489"/>
      <c r="AB91" s="489"/>
      <c r="AC91" s="217"/>
      <c r="AD91" s="224"/>
      <c r="AE91" s="489"/>
    </row>
    <row r="92" spans="3:31" ht="16.2" customHeight="1">
      <c r="C92" s="489"/>
      <c r="D92" s="489"/>
      <c r="E92" s="217"/>
      <c r="F92" s="224"/>
      <c r="G92" s="224"/>
      <c r="H92" s="224"/>
      <c r="I92" s="489"/>
      <c r="J92" s="489"/>
      <c r="K92" s="217"/>
      <c r="L92" s="224"/>
      <c r="M92" s="224"/>
      <c r="N92" s="224"/>
      <c r="O92" s="489"/>
      <c r="P92" s="489"/>
      <c r="Q92" s="217"/>
      <c r="R92" s="224"/>
      <c r="S92" s="224"/>
      <c r="T92" s="224"/>
      <c r="U92" s="489"/>
      <c r="V92" s="489"/>
      <c r="W92" s="217"/>
      <c r="X92" s="224"/>
      <c r="Y92" s="224"/>
      <c r="Z92" s="224"/>
      <c r="AA92" s="489"/>
      <c r="AB92" s="489"/>
      <c r="AC92" s="217"/>
      <c r="AD92" s="224"/>
      <c r="AE92" s="489"/>
    </row>
    <row r="93" spans="3:31" ht="16.2" customHeight="1">
      <c r="C93" s="489"/>
      <c r="D93" s="489"/>
      <c r="E93" s="217"/>
      <c r="F93" s="224"/>
      <c r="G93" s="224"/>
      <c r="H93" s="224"/>
      <c r="I93" s="489"/>
      <c r="J93" s="489"/>
      <c r="K93" s="217"/>
      <c r="L93" s="224"/>
      <c r="M93" s="224"/>
      <c r="N93" s="224"/>
      <c r="O93" s="489"/>
      <c r="P93" s="489"/>
      <c r="Q93" s="217"/>
      <c r="R93" s="224"/>
      <c r="S93" s="224"/>
      <c r="T93" s="224"/>
      <c r="U93" s="489"/>
      <c r="V93" s="489"/>
      <c r="W93" s="217"/>
      <c r="X93" s="224"/>
      <c r="Y93" s="224"/>
      <c r="Z93" s="224"/>
      <c r="AA93" s="489"/>
      <c r="AB93" s="489"/>
      <c r="AC93" s="217"/>
      <c r="AD93" s="224"/>
      <c r="AE93" s="489"/>
    </row>
    <row r="94" spans="3:31" ht="16.2" customHeight="1">
      <c r="C94" s="489"/>
      <c r="D94" s="489"/>
      <c r="E94" s="217"/>
      <c r="F94" s="224"/>
      <c r="G94" s="224"/>
      <c r="H94" s="224"/>
      <c r="I94" s="489"/>
      <c r="J94" s="489"/>
      <c r="K94" s="217"/>
      <c r="L94" s="224"/>
      <c r="M94" s="224"/>
      <c r="N94" s="224"/>
      <c r="O94" s="489"/>
      <c r="P94" s="489"/>
      <c r="Q94" s="217"/>
      <c r="R94" s="224"/>
      <c r="S94" s="224"/>
      <c r="T94" s="224"/>
      <c r="U94" s="489"/>
      <c r="V94" s="489"/>
      <c r="W94" s="217"/>
      <c r="X94" s="224"/>
      <c r="Y94" s="224"/>
      <c r="Z94" s="224"/>
      <c r="AA94" s="489"/>
      <c r="AB94" s="489"/>
      <c r="AC94" s="217"/>
      <c r="AD94" s="224"/>
      <c r="AE94" s="489"/>
    </row>
    <row r="95" spans="3:31" ht="16.2" customHeight="1">
      <c r="C95" s="489"/>
      <c r="D95" s="489"/>
      <c r="E95" s="217"/>
      <c r="F95" s="224"/>
      <c r="G95" s="224"/>
      <c r="H95" s="224"/>
      <c r="I95" s="489"/>
      <c r="J95" s="489"/>
      <c r="K95" s="217"/>
      <c r="L95" s="224"/>
      <c r="M95" s="224"/>
      <c r="N95" s="224"/>
      <c r="O95" s="489"/>
      <c r="P95" s="489"/>
      <c r="Q95" s="217"/>
      <c r="R95" s="224"/>
      <c r="S95" s="224"/>
      <c r="T95" s="224"/>
      <c r="U95" s="489"/>
      <c r="V95" s="489"/>
      <c r="W95" s="217"/>
      <c r="X95" s="224"/>
      <c r="Y95" s="224"/>
      <c r="Z95" s="224"/>
      <c r="AA95" s="489"/>
      <c r="AB95" s="489"/>
      <c r="AC95" s="217"/>
      <c r="AD95" s="224"/>
      <c r="AE95" s="489"/>
    </row>
    <row r="96" spans="3:31" ht="16.2" customHeight="1">
      <c r="C96" s="489"/>
      <c r="D96" s="489"/>
      <c r="E96" s="217"/>
      <c r="F96" s="224"/>
      <c r="G96" s="224"/>
      <c r="H96" s="224"/>
      <c r="I96" s="489"/>
      <c r="J96" s="489"/>
      <c r="K96" s="217"/>
      <c r="L96" s="224"/>
      <c r="M96" s="224"/>
      <c r="N96" s="224"/>
      <c r="O96" s="489"/>
      <c r="P96" s="489"/>
      <c r="Q96" s="217"/>
      <c r="R96" s="224"/>
      <c r="S96" s="224"/>
      <c r="T96" s="224"/>
      <c r="U96" s="489"/>
      <c r="V96" s="489"/>
      <c r="W96" s="217"/>
      <c r="X96" s="224"/>
      <c r="Y96" s="224"/>
      <c r="Z96" s="224"/>
      <c r="AA96" s="489"/>
      <c r="AB96" s="489"/>
      <c r="AC96" s="217"/>
      <c r="AD96" s="224"/>
      <c r="AE96" s="489"/>
    </row>
    <row r="97" spans="3:31" ht="16.2" customHeight="1">
      <c r="C97" s="489"/>
      <c r="D97" s="489"/>
      <c r="E97" s="217"/>
      <c r="F97" s="224"/>
      <c r="G97" s="224"/>
      <c r="H97" s="224"/>
      <c r="I97" s="489"/>
      <c r="J97" s="489"/>
      <c r="K97" s="217"/>
      <c r="L97" s="224"/>
      <c r="M97" s="224"/>
      <c r="N97" s="224"/>
      <c r="O97" s="489"/>
      <c r="P97" s="489"/>
      <c r="Q97" s="217"/>
      <c r="R97" s="224"/>
      <c r="S97" s="224"/>
      <c r="T97" s="224"/>
      <c r="U97" s="489"/>
      <c r="V97" s="489"/>
      <c r="W97" s="217"/>
      <c r="X97" s="224"/>
      <c r="Y97" s="224"/>
      <c r="Z97" s="224"/>
      <c r="AA97" s="489"/>
      <c r="AB97" s="489"/>
      <c r="AC97" s="217"/>
      <c r="AD97" s="224"/>
      <c r="AE97" s="489"/>
    </row>
    <row r="98" spans="3:31" ht="16.2" customHeight="1">
      <c r="C98" s="489"/>
      <c r="D98" s="489"/>
      <c r="E98" s="217"/>
      <c r="F98" s="224"/>
      <c r="G98" s="224"/>
      <c r="H98" s="224"/>
      <c r="I98" s="489"/>
      <c r="J98" s="489"/>
      <c r="K98" s="217"/>
      <c r="L98" s="224"/>
      <c r="M98" s="224"/>
      <c r="N98" s="224"/>
      <c r="O98" s="489"/>
      <c r="P98" s="489"/>
      <c r="Q98" s="217"/>
      <c r="R98" s="224"/>
      <c r="S98" s="224"/>
      <c r="T98" s="224"/>
      <c r="U98" s="489"/>
      <c r="V98" s="489"/>
      <c r="W98" s="217"/>
      <c r="X98" s="224"/>
      <c r="Y98" s="224"/>
      <c r="Z98" s="224"/>
      <c r="AA98" s="489"/>
      <c r="AB98" s="489"/>
      <c r="AC98" s="217"/>
      <c r="AD98" s="224"/>
      <c r="AE98" s="489"/>
    </row>
    <row r="99" spans="3:31" ht="16.2" customHeight="1">
      <c r="C99" s="489"/>
      <c r="D99" s="489"/>
      <c r="E99" s="217"/>
      <c r="F99" s="224"/>
      <c r="G99" s="224"/>
      <c r="H99" s="224"/>
      <c r="I99" s="489"/>
      <c r="J99" s="489"/>
      <c r="K99" s="217"/>
      <c r="L99" s="224"/>
      <c r="M99" s="224"/>
      <c r="N99" s="224"/>
      <c r="O99" s="489"/>
      <c r="P99" s="489"/>
      <c r="Q99" s="217"/>
      <c r="R99" s="224"/>
      <c r="S99" s="224"/>
      <c r="T99" s="224"/>
      <c r="U99" s="489"/>
      <c r="V99" s="489"/>
      <c r="W99" s="217"/>
      <c r="X99" s="224"/>
      <c r="Y99" s="224"/>
      <c r="Z99" s="224"/>
      <c r="AA99" s="489"/>
      <c r="AB99" s="489"/>
      <c r="AC99" s="217"/>
      <c r="AD99" s="224"/>
      <c r="AE99" s="489"/>
    </row>
    <row r="100" spans="3:31" ht="16.2" customHeight="1">
      <c r="C100" s="489"/>
      <c r="D100" s="489"/>
      <c r="E100" s="217"/>
      <c r="F100" s="224"/>
      <c r="G100" s="224"/>
      <c r="H100" s="224"/>
      <c r="I100" s="489"/>
      <c r="J100" s="489"/>
      <c r="K100" s="217"/>
      <c r="L100" s="224"/>
      <c r="M100" s="224"/>
      <c r="N100" s="224"/>
      <c r="O100" s="489"/>
      <c r="P100" s="489"/>
      <c r="Q100" s="217"/>
      <c r="R100" s="224"/>
      <c r="S100" s="224"/>
      <c r="T100" s="224"/>
      <c r="U100" s="489"/>
      <c r="V100" s="489"/>
      <c r="W100" s="217"/>
      <c r="X100" s="224"/>
      <c r="Y100" s="224"/>
      <c r="Z100" s="224"/>
      <c r="AA100" s="489"/>
      <c r="AB100" s="489"/>
      <c r="AC100" s="217"/>
      <c r="AD100" s="224"/>
      <c r="AE100" s="489"/>
    </row>
    <row r="101" spans="3:31" ht="16.2" customHeight="1">
      <c r="C101" s="489"/>
      <c r="D101" s="489"/>
      <c r="E101" s="217"/>
      <c r="F101" s="224"/>
      <c r="G101" s="224"/>
      <c r="H101" s="224"/>
      <c r="I101" s="489"/>
      <c r="J101" s="489"/>
      <c r="K101" s="217"/>
      <c r="L101" s="224"/>
      <c r="M101" s="224"/>
      <c r="N101" s="224"/>
      <c r="O101" s="489"/>
      <c r="P101" s="489"/>
      <c r="Q101" s="217"/>
      <c r="R101" s="224"/>
      <c r="S101" s="224"/>
      <c r="T101" s="224"/>
      <c r="U101" s="489"/>
      <c r="V101" s="489"/>
      <c r="W101" s="217"/>
      <c r="X101" s="224"/>
      <c r="Y101" s="224"/>
      <c r="Z101" s="224"/>
      <c r="AA101" s="489"/>
      <c r="AB101" s="489"/>
      <c r="AC101" s="217"/>
      <c r="AD101" s="224"/>
      <c r="AE101" s="489"/>
    </row>
    <row r="102" spans="3:31" ht="16.2" customHeight="1">
      <c r="C102" s="489"/>
      <c r="D102" s="489"/>
      <c r="E102" s="217"/>
      <c r="F102" s="224"/>
      <c r="G102" s="224"/>
      <c r="H102" s="224"/>
      <c r="I102" s="489"/>
      <c r="J102" s="489"/>
      <c r="K102" s="217"/>
      <c r="L102" s="224"/>
      <c r="M102" s="224"/>
      <c r="N102" s="224"/>
      <c r="O102" s="489"/>
      <c r="P102" s="489"/>
      <c r="Q102" s="217"/>
      <c r="R102" s="224"/>
      <c r="S102" s="224"/>
      <c r="T102" s="224"/>
      <c r="U102" s="489"/>
      <c r="V102" s="489"/>
      <c r="W102" s="217"/>
      <c r="X102" s="224"/>
      <c r="Y102" s="224"/>
      <c r="Z102" s="224"/>
      <c r="AA102" s="489"/>
      <c r="AB102" s="489"/>
      <c r="AC102" s="217"/>
      <c r="AD102" s="224"/>
      <c r="AE102" s="489"/>
    </row>
    <row r="103" spans="3:31" ht="16.2" customHeight="1">
      <c r="C103" s="489"/>
      <c r="D103" s="489"/>
      <c r="E103" s="217"/>
      <c r="F103" s="224"/>
      <c r="G103" s="224"/>
      <c r="H103" s="224"/>
      <c r="I103" s="489"/>
      <c r="J103" s="489"/>
      <c r="K103" s="217"/>
      <c r="L103" s="224"/>
      <c r="M103" s="224"/>
      <c r="N103" s="224"/>
      <c r="O103" s="489"/>
      <c r="P103" s="489"/>
      <c r="Q103" s="217"/>
      <c r="R103" s="224"/>
      <c r="S103" s="224"/>
      <c r="T103" s="224"/>
      <c r="U103" s="489"/>
      <c r="V103" s="489"/>
      <c r="W103" s="217"/>
      <c r="X103" s="224"/>
      <c r="Y103" s="224"/>
      <c r="Z103" s="224"/>
      <c r="AA103" s="489"/>
      <c r="AB103" s="489"/>
      <c r="AC103" s="217"/>
      <c r="AD103" s="224"/>
      <c r="AE103" s="489"/>
    </row>
    <row r="104" spans="3:31" ht="16.2" customHeight="1">
      <c r="C104" s="489"/>
      <c r="D104" s="489"/>
      <c r="E104" s="217"/>
      <c r="F104" s="224"/>
      <c r="G104" s="224"/>
      <c r="H104" s="224"/>
      <c r="I104" s="489"/>
      <c r="J104" s="489"/>
      <c r="K104" s="217"/>
      <c r="L104" s="224"/>
      <c r="M104" s="224"/>
      <c r="N104" s="224"/>
      <c r="O104" s="489"/>
      <c r="P104" s="489"/>
      <c r="Q104" s="217"/>
      <c r="R104" s="224"/>
      <c r="S104" s="224"/>
      <c r="T104" s="224"/>
      <c r="U104" s="489"/>
      <c r="V104" s="489"/>
      <c r="W104" s="217"/>
      <c r="X104" s="224"/>
      <c r="Y104" s="224"/>
      <c r="Z104" s="224"/>
      <c r="AA104" s="489"/>
      <c r="AB104" s="489"/>
      <c r="AC104" s="217"/>
      <c r="AD104" s="224"/>
      <c r="AE104" s="489"/>
    </row>
    <row r="105" spans="3:31" ht="16.2" customHeight="1">
      <c r="C105" s="489"/>
      <c r="D105" s="489"/>
      <c r="E105" s="217"/>
      <c r="F105" s="224"/>
      <c r="G105" s="224"/>
      <c r="H105" s="224"/>
      <c r="I105" s="489"/>
      <c r="J105" s="489"/>
      <c r="K105" s="217"/>
      <c r="L105" s="224"/>
      <c r="M105" s="224"/>
      <c r="N105" s="224"/>
      <c r="O105" s="489"/>
      <c r="P105" s="489"/>
      <c r="Q105" s="217"/>
      <c r="R105" s="224"/>
      <c r="S105" s="224"/>
      <c r="T105" s="224"/>
      <c r="U105" s="489"/>
      <c r="V105" s="489"/>
      <c r="W105" s="217"/>
      <c r="X105" s="224"/>
      <c r="Y105" s="224"/>
      <c r="Z105" s="224"/>
      <c r="AA105" s="489"/>
      <c r="AB105" s="489"/>
      <c r="AC105" s="217"/>
      <c r="AD105" s="224"/>
      <c r="AE105" s="489"/>
    </row>
    <row r="106" spans="3:31" ht="16.2" customHeight="1">
      <c r="C106" s="489"/>
      <c r="D106" s="489"/>
      <c r="E106" s="217"/>
      <c r="F106" s="224"/>
      <c r="G106" s="224"/>
      <c r="H106" s="224"/>
      <c r="I106" s="489"/>
      <c r="J106" s="489"/>
      <c r="K106" s="217"/>
      <c r="L106" s="224"/>
      <c r="M106" s="224"/>
      <c r="N106" s="224"/>
      <c r="O106" s="489"/>
      <c r="P106" s="489"/>
      <c r="Q106" s="217"/>
      <c r="R106" s="224"/>
      <c r="S106" s="224"/>
      <c r="T106" s="224"/>
      <c r="U106" s="489"/>
      <c r="V106" s="489"/>
      <c r="W106" s="217"/>
      <c r="X106" s="224"/>
      <c r="Y106" s="224"/>
      <c r="Z106" s="224"/>
      <c r="AA106" s="489"/>
      <c r="AB106" s="489"/>
      <c r="AC106" s="217"/>
      <c r="AD106" s="224"/>
      <c r="AE106" s="489"/>
    </row>
    <row r="107" spans="3:31" ht="16.2" customHeight="1">
      <c r="C107" s="489"/>
      <c r="D107" s="489"/>
      <c r="E107" s="217"/>
      <c r="F107" s="224"/>
      <c r="G107" s="224"/>
      <c r="H107" s="224"/>
      <c r="I107" s="489"/>
      <c r="J107" s="489"/>
      <c r="K107" s="217"/>
      <c r="L107" s="224"/>
      <c r="M107" s="224"/>
      <c r="N107" s="224"/>
      <c r="O107" s="489"/>
      <c r="P107" s="489"/>
      <c r="Q107" s="217"/>
      <c r="R107" s="224"/>
      <c r="S107" s="224"/>
      <c r="T107" s="224"/>
      <c r="U107" s="489"/>
      <c r="V107" s="489"/>
      <c r="W107" s="217"/>
      <c r="X107" s="224"/>
      <c r="Y107" s="224"/>
      <c r="Z107" s="224"/>
      <c r="AA107" s="489"/>
      <c r="AB107" s="489"/>
      <c r="AC107" s="217"/>
      <c r="AD107" s="224"/>
      <c r="AE107" s="489"/>
    </row>
    <row r="108" spans="3:31" ht="16.2" customHeight="1">
      <c r="C108" s="489"/>
      <c r="D108" s="489"/>
      <c r="E108" s="217"/>
      <c r="F108" s="224"/>
      <c r="G108" s="224"/>
      <c r="H108" s="224"/>
      <c r="I108" s="489"/>
      <c r="J108" s="489"/>
      <c r="K108" s="217"/>
      <c r="L108" s="224"/>
      <c r="M108" s="224"/>
      <c r="N108" s="224"/>
      <c r="O108" s="489"/>
      <c r="P108" s="489"/>
      <c r="Q108" s="217"/>
      <c r="R108" s="224"/>
      <c r="S108" s="224"/>
      <c r="T108" s="224"/>
      <c r="U108" s="489"/>
      <c r="V108" s="489"/>
      <c r="W108" s="217"/>
      <c r="X108" s="224"/>
      <c r="Y108" s="224"/>
      <c r="Z108" s="224"/>
      <c r="AA108" s="489"/>
      <c r="AB108" s="489"/>
      <c r="AC108" s="217"/>
      <c r="AD108" s="224"/>
      <c r="AE108" s="489"/>
    </row>
    <row r="109" spans="3:31" ht="16.2" customHeight="1">
      <c r="C109" s="489"/>
      <c r="D109" s="489"/>
      <c r="E109" s="217"/>
      <c r="F109" s="224"/>
      <c r="G109" s="224"/>
      <c r="H109" s="224"/>
      <c r="I109" s="489"/>
      <c r="J109" s="489"/>
      <c r="K109" s="217"/>
      <c r="L109" s="224"/>
      <c r="M109" s="224"/>
      <c r="N109" s="224"/>
      <c r="O109" s="489"/>
      <c r="P109" s="489"/>
      <c r="Q109" s="217"/>
      <c r="R109" s="224"/>
      <c r="S109" s="224"/>
      <c r="T109" s="224"/>
      <c r="U109" s="489"/>
      <c r="V109" s="489"/>
      <c r="W109" s="217"/>
      <c r="X109" s="224"/>
      <c r="Y109" s="224"/>
      <c r="Z109" s="224"/>
      <c r="AA109" s="489"/>
      <c r="AB109" s="489"/>
      <c r="AC109" s="217"/>
      <c r="AD109" s="224"/>
      <c r="AE109" s="489"/>
    </row>
    <row r="110" spans="3:31" ht="16.2" customHeight="1">
      <c r="C110" s="489"/>
      <c r="D110" s="489"/>
      <c r="E110" s="217"/>
      <c r="F110" s="224"/>
      <c r="G110" s="224"/>
      <c r="H110" s="224"/>
      <c r="I110" s="489"/>
      <c r="J110" s="489"/>
      <c r="K110" s="217"/>
      <c r="L110" s="224"/>
      <c r="M110" s="224"/>
      <c r="N110" s="224"/>
      <c r="O110" s="489"/>
      <c r="P110" s="489"/>
      <c r="Q110" s="217"/>
      <c r="R110" s="224"/>
      <c r="S110" s="224"/>
      <c r="T110" s="224"/>
      <c r="U110" s="489"/>
      <c r="V110" s="489"/>
      <c r="W110" s="217"/>
      <c r="X110" s="224"/>
      <c r="Y110" s="224"/>
      <c r="Z110" s="224"/>
      <c r="AA110" s="489"/>
      <c r="AB110" s="489"/>
      <c r="AC110" s="217"/>
      <c r="AD110" s="224"/>
      <c r="AE110" s="489"/>
    </row>
    <row r="111" spans="3:31" ht="16.2" customHeight="1">
      <c r="C111" s="489"/>
      <c r="D111" s="489"/>
      <c r="E111" s="217"/>
      <c r="F111" s="224"/>
      <c r="G111" s="224"/>
      <c r="H111" s="224"/>
      <c r="I111" s="489"/>
      <c r="J111" s="489"/>
      <c r="K111" s="217"/>
      <c r="L111" s="224"/>
      <c r="M111" s="224"/>
      <c r="N111" s="224"/>
      <c r="O111" s="489"/>
      <c r="P111" s="489"/>
      <c r="Q111" s="217"/>
      <c r="R111" s="224"/>
      <c r="S111" s="224"/>
      <c r="T111" s="224"/>
      <c r="U111" s="489"/>
      <c r="V111" s="489"/>
      <c r="W111" s="217"/>
      <c r="X111" s="224"/>
      <c r="Y111" s="224"/>
      <c r="Z111" s="224"/>
      <c r="AA111" s="489"/>
      <c r="AB111" s="489"/>
      <c r="AC111" s="217"/>
      <c r="AD111" s="224"/>
      <c r="AE111" s="489"/>
    </row>
    <row r="112" spans="3:31" ht="16.2" customHeight="1">
      <c r="C112" s="489"/>
      <c r="D112" s="489"/>
      <c r="E112" s="217"/>
      <c r="F112" s="224"/>
      <c r="G112" s="224"/>
      <c r="H112" s="224"/>
      <c r="I112" s="489"/>
      <c r="J112" s="489"/>
      <c r="K112" s="217"/>
      <c r="L112" s="224"/>
      <c r="M112" s="224"/>
      <c r="N112" s="224"/>
      <c r="O112" s="489"/>
      <c r="P112" s="489"/>
      <c r="Q112" s="217"/>
      <c r="R112" s="224"/>
      <c r="S112" s="224"/>
      <c r="T112" s="224"/>
      <c r="U112" s="489"/>
      <c r="V112" s="489"/>
      <c r="W112" s="217"/>
      <c r="X112" s="224"/>
      <c r="Y112" s="224"/>
      <c r="Z112" s="224"/>
      <c r="AA112" s="489"/>
      <c r="AB112" s="489"/>
      <c r="AC112" s="217"/>
      <c r="AD112" s="224"/>
      <c r="AE112" s="489"/>
    </row>
    <row r="113" spans="3:31" ht="16.2" customHeight="1">
      <c r="C113" s="489"/>
      <c r="D113" s="489"/>
      <c r="E113" s="217"/>
      <c r="F113" s="224"/>
      <c r="G113" s="224"/>
      <c r="H113" s="224"/>
      <c r="I113" s="489"/>
      <c r="J113" s="489"/>
      <c r="K113" s="217"/>
      <c r="L113" s="224"/>
      <c r="M113" s="224"/>
      <c r="N113" s="224"/>
      <c r="O113" s="489"/>
      <c r="P113" s="489"/>
      <c r="Q113" s="217"/>
      <c r="R113" s="224"/>
      <c r="S113" s="224"/>
      <c r="T113" s="224"/>
      <c r="U113" s="489"/>
      <c r="V113" s="489"/>
      <c r="W113" s="217"/>
      <c r="X113" s="224"/>
      <c r="Y113" s="224"/>
      <c r="Z113" s="224"/>
      <c r="AA113" s="489"/>
      <c r="AB113" s="489"/>
      <c r="AC113" s="217"/>
      <c r="AD113" s="224"/>
      <c r="AE113" s="489"/>
    </row>
    <row r="114" spans="3:31" ht="16.2" customHeight="1">
      <c r="C114" s="489"/>
      <c r="D114" s="489"/>
      <c r="E114" s="217"/>
      <c r="F114" s="224"/>
      <c r="G114" s="224"/>
      <c r="H114" s="224"/>
      <c r="I114" s="489"/>
      <c r="J114" s="489"/>
      <c r="K114" s="217"/>
      <c r="L114" s="224"/>
      <c r="M114" s="224"/>
      <c r="N114" s="224"/>
      <c r="O114" s="489"/>
      <c r="P114" s="489"/>
      <c r="Q114" s="217"/>
      <c r="R114" s="224"/>
      <c r="S114" s="224"/>
      <c r="T114" s="224"/>
      <c r="U114" s="489"/>
      <c r="V114" s="489"/>
      <c r="W114" s="217"/>
      <c r="X114" s="224"/>
      <c r="Y114" s="224"/>
      <c r="Z114" s="224"/>
      <c r="AA114" s="489"/>
      <c r="AB114" s="489"/>
      <c r="AC114" s="217"/>
      <c r="AD114" s="224"/>
      <c r="AE114" s="489"/>
    </row>
    <row r="115" spans="3:31" ht="16.2" customHeight="1">
      <c r="C115" s="489"/>
      <c r="D115" s="489"/>
      <c r="E115" s="217"/>
      <c r="F115" s="224"/>
      <c r="G115" s="224"/>
      <c r="H115" s="224"/>
      <c r="I115" s="489"/>
      <c r="J115" s="489"/>
      <c r="K115" s="217"/>
      <c r="L115" s="224"/>
      <c r="M115" s="224"/>
      <c r="N115" s="224"/>
      <c r="O115" s="489"/>
      <c r="P115" s="489"/>
      <c r="Q115" s="217"/>
      <c r="R115" s="224"/>
      <c r="S115" s="224"/>
      <c r="T115" s="224"/>
      <c r="U115" s="489"/>
      <c r="V115" s="489"/>
      <c r="W115" s="217"/>
      <c r="X115" s="224"/>
      <c r="Y115" s="224"/>
      <c r="Z115" s="224"/>
      <c r="AA115" s="489"/>
      <c r="AB115" s="489"/>
      <c r="AC115" s="217"/>
      <c r="AD115" s="224"/>
      <c r="AE115" s="489"/>
    </row>
    <row r="116" spans="3:31" ht="16.2" customHeight="1">
      <c r="C116" s="489"/>
      <c r="D116" s="489"/>
      <c r="E116" s="217"/>
      <c r="F116" s="224"/>
      <c r="G116" s="224"/>
      <c r="H116" s="224"/>
      <c r="I116" s="489"/>
      <c r="J116" s="489"/>
      <c r="K116" s="217"/>
      <c r="L116" s="224"/>
      <c r="M116" s="224"/>
      <c r="N116" s="224"/>
      <c r="O116" s="489"/>
      <c r="P116" s="489"/>
      <c r="Q116" s="217"/>
      <c r="R116" s="224"/>
      <c r="S116" s="224"/>
      <c r="T116" s="224"/>
      <c r="U116" s="489"/>
      <c r="V116" s="489"/>
      <c r="W116" s="217"/>
      <c r="X116" s="224"/>
      <c r="Y116" s="224"/>
      <c r="Z116" s="224"/>
      <c r="AA116" s="489"/>
      <c r="AB116" s="489"/>
      <c r="AC116" s="217"/>
      <c r="AD116" s="224"/>
      <c r="AE116" s="489"/>
    </row>
    <row r="117" spans="3:31" ht="16.2" customHeight="1">
      <c r="C117" s="489"/>
      <c r="D117" s="489"/>
      <c r="E117" s="217"/>
      <c r="F117" s="224"/>
      <c r="G117" s="224"/>
      <c r="H117" s="224"/>
      <c r="I117" s="489"/>
      <c r="J117" s="489"/>
      <c r="K117" s="217"/>
      <c r="L117" s="224"/>
      <c r="M117" s="224"/>
      <c r="N117" s="224"/>
      <c r="O117" s="489"/>
      <c r="P117" s="489"/>
      <c r="Q117" s="217"/>
      <c r="R117" s="224"/>
      <c r="S117" s="224"/>
      <c r="T117" s="224"/>
      <c r="U117" s="489"/>
      <c r="V117" s="489"/>
      <c r="W117" s="217"/>
      <c r="X117" s="224"/>
      <c r="Y117" s="224"/>
      <c r="Z117" s="224"/>
      <c r="AA117" s="489"/>
      <c r="AB117" s="489"/>
      <c r="AC117" s="217"/>
      <c r="AD117" s="224"/>
      <c r="AE117" s="489"/>
    </row>
    <row r="118" spans="3:31" ht="16.2" customHeight="1">
      <c r="C118" s="489"/>
      <c r="D118" s="489"/>
      <c r="E118" s="217"/>
      <c r="F118" s="224"/>
      <c r="G118" s="224"/>
      <c r="H118" s="224"/>
      <c r="I118" s="489"/>
      <c r="J118" s="489"/>
      <c r="K118" s="217"/>
      <c r="L118" s="224"/>
      <c r="M118" s="224"/>
      <c r="N118" s="224"/>
      <c r="O118" s="489"/>
      <c r="P118" s="489"/>
      <c r="Q118" s="217"/>
      <c r="R118" s="224"/>
      <c r="S118" s="224"/>
      <c r="T118" s="224"/>
      <c r="U118" s="489"/>
      <c r="V118" s="489"/>
      <c r="W118" s="217"/>
      <c r="X118" s="224"/>
      <c r="Y118" s="224"/>
      <c r="Z118" s="224"/>
      <c r="AA118" s="489"/>
      <c r="AB118" s="489"/>
      <c r="AC118" s="217"/>
      <c r="AD118" s="224"/>
      <c r="AE118" s="489"/>
    </row>
  </sheetData>
  <sheetProtection formatCells="0"/>
  <mergeCells count="14">
    <mergeCell ref="AA7:AE8"/>
    <mergeCell ref="C2:F3"/>
    <mergeCell ref="AA10:AD10"/>
    <mergeCell ref="D5:L6"/>
    <mergeCell ref="D7:L8"/>
    <mergeCell ref="C10:F10"/>
    <mergeCell ref="I10:L10"/>
    <mergeCell ref="O10:R10"/>
    <mergeCell ref="U10:X10"/>
    <mergeCell ref="W5:X5"/>
    <mergeCell ref="W7:X7"/>
    <mergeCell ref="P5:V6"/>
    <mergeCell ref="P7:Q8"/>
    <mergeCell ref="AA5:AC6"/>
  </mergeCells>
  <phoneticPr fontId="2"/>
  <conditionalFormatting sqref="F13:F21 L13:L21 R13:R22 X13:X21 F31:F32 L31:L32 R31:R32 X31:X330 L13:L19 R13:R20 X13:X21 F31:F32 L31:L32 R31:R32 X31:X33">
    <cfRule type="cellIs" dxfId="24" priority="1" operator="greaterThan">
      <formula>D13</formula>
    </cfRule>
  </conditionalFormatting>
  <hyperlinks>
    <hyperlink ref="C2:F3" location="提案表紙!A1" display="大阪府折込資料表" xr:uid="{00000000-0004-0000-16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&amp;L八尾市・柏原市
&amp;RP-19/34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tabColor rgb="FFB6D2F5"/>
  </sheetPr>
  <dimension ref="A1:AE519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749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750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751</v>
      </c>
      <c r="P7" s="827">
        <f>提案表紙!G9</f>
        <v>0</v>
      </c>
      <c r="Q7" s="828"/>
      <c r="R7" s="7" t="s">
        <v>676</v>
      </c>
      <c r="S7"/>
      <c r="T7"/>
      <c r="U7" s="410">
        <f>松原市折込部数+羽曳野市折込部数+藤井寺市折込部数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1428</v>
      </c>
      <c r="C12" s="46" t="s">
        <v>718</v>
      </c>
      <c r="D12"/>
      <c r="F12" s="224"/>
      <c r="G12" s="51">
        <v>2</v>
      </c>
      <c r="H12" s="488" t="s">
        <v>1428</v>
      </c>
      <c r="I12" s="489"/>
      <c r="J12" s="489"/>
      <c r="K12" s="217"/>
      <c r="L12" s="224"/>
      <c r="M12" s="51">
        <v>2</v>
      </c>
      <c r="N12" s="488" t="s">
        <v>1428</v>
      </c>
      <c r="O12" s="489"/>
      <c r="P12" s="489"/>
      <c r="Q12" s="217"/>
      <c r="R12" s="489"/>
      <c r="S12" s="51">
        <v>2</v>
      </c>
      <c r="T12" s="488" t="s">
        <v>1428</v>
      </c>
      <c r="U12" s="489"/>
      <c r="V12" s="489"/>
      <c r="W12" s="217"/>
      <c r="X12" s="489"/>
      <c r="Y12" s="51">
        <v>2</v>
      </c>
      <c r="Z12" s="488" t="s">
        <v>1428</v>
      </c>
      <c r="AA12" s="489"/>
      <c r="AB12" s="217"/>
      <c r="AC12"/>
      <c r="AD12" s="508"/>
      <c r="AE12" s="90"/>
    </row>
    <row r="13" spans="1:31" ht="16.2" customHeight="1">
      <c r="A13" s="51">
        <v>3</v>
      </c>
      <c r="B13" s="51">
        <v>72331</v>
      </c>
      <c r="C13" s="441" t="s">
        <v>740</v>
      </c>
      <c r="D13" s="148">
        <v>1500</v>
      </c>
      <c r="E13" s="177"/>
      <c r="F13" s="404"/>
      <c r="G13" s="51">
        <v>3</v>
      </c>
      <c r="H13" s="51">
        <v>73325</v>
      </c>
      <c r="I13" s="441" t="s">
        <v>1377</v>
      </c>
      <c r="J13" s="148">
        <v>2800</v>
      </c>
      <c r="K13" s="162"/>
      <c r="L13" s="404"/>
      <c r="M13" s="51">
        <v>3</v>
      </c>
      <c r="N13" s="51">
        <v>75355</v>
      </c>
      <c r="O13" s="690" t="s">
        <v>741</v>
      </c>
      <c r="P13" s="752">
        <v>4650</v>
      </c>
      <c r="Q13" s="162"/>
      <c r="R13" s="404"/>
      <c r="S13" s="51">
        <v>3</v>
      </c>
      <c r="T13" s="51">
        <v>74421</v>
      </c>
      <c r="U13" s="441" t="s">
        <v>741</v>
      </c>
      <c r="V13" s="148">
        <v>2850</v>
      </c>
      <c r="W13" s="177"/>
      <c r="X13" s="404"/>
      <c r="Y13" s="51">
        <v>3</v>
      </c>
      <c r="Z13" s="51"/>
      <c r="AA13" s="709"/>
      <c r="AB13" s="710"/>
      <c r="AC13" s="162"/>
      <c r="AD13" s="160"/>
      <c r="AE13" s="704"/>
    </row>
    <row r="14" spans="1:31" ht="16.2" customHeight="1">
      <c r="A14" s="51">
        <v>3</v>
      </c>
      <c r="B14" s="51">
        <v>72333</v>
      </c>
      <c r="C14" s="386" t="s">
        <v>741</v>
      </c>
      <c r="D14" s="143">
        <v>2300</v>
      </c>
      <c r="E14" s="146"/>
      <c r="F14" s="405"/>
      <c r="G14" s="51">
        <v>3</v>
      </c>
      <c r="H14" s="51">
        <v>73326</v>
      </c>
      <c r="I14" s="386" t="s">
        <v>1605</v>
      </c>
      <c r="J14" s="446" t="s">
        <v>1625</v>
      </c>
      <c r="K14" s="146"/>
      <c r="L14" s="405"/>
      <c r="M14" s="51">
        <v>3</v>
      </c>
      <c r="N14" s="51">
        <v>75357</v>
      </c>
      <c r="O14" s="386" t="s">
        <v>742</v>
      </c>
      <c r="P14" s="149">
        <v>3400</v>
      </c>
      <c r="Q14" s="146"/>
      <c r="R14" s="405"/>
      <c r="S14" s="51">
        <v>3</v>
      </c>
      <c r="T14" s="51">
        <v>74423</v>
      </c>
      <c r="U14" s="386" t="s">
        <v>743</v>
      </c>
      <c r="V14" s="143">
        <v>2000</v>
      </c>
      <c r="W14" s="146"/>
      <c r="X14" s="405"/>
      <c r="Y14" s="51">
        <v>3</v>
      </c>
      <c r="Z14" s="51"/>
      <c r="AA14" s="512"/>
      <c r="AB14" s="139"/>
      <c r="AC14" s="137"/>
      <c r="AD14" s="132"/>
      <c r="AE14" s="706"/>
    </row>
    <row r="15" spans="1:31" ht="16.2" customHeight="1">
      <c r="A15" s="51">
        <v>3</v>
      </c>
      <c r="B15" s="51"/>
      <c r="C15" s="386"/>
      <c r="D15" s="143"/>
      <c r="E15" s="146"/>
      <c r="F15" s="405"/>
      <c r="G15" s="51">
        <v>3</v>
      </c>
      <c r="H15" s="51">
        <v>73328</v>
      </c>
      <c r="I15" s="386" t="s">
        <v>1605</v>
      </c>
      <c r="J15" s="583">
        <v>2000</v>
      </c>
      <c r="K15" s="196"/>
      <c r="L15" s="405"/>
      <c r="M15" s="51">
        <v>3</v>
      </c>
      <c r="N15" s="51"/>
      <c r="O15" s="386"/>
      <c r="P15" s="583"/>
      <c r="Q15" s="196"/>
      <c r="R15" s="405"/>
      <c r="S15" s="51">
        <v>3</v>
      </c>
      <c r="T15" s="51">
        <v>74425</v>
      </c>
      <c r="U15" s="716" t="s">
        <v>744</v>
      </c>
      <c r="V15" s="353">
        <v>1350</v>
      </c>
      <c r="W15" s="197"/>
      <c r="X15" s="405"/>
      <c r="Y15" s="51">
        <v>3</v>
      </c>
      <c r="Z15" s="51"/>
      <c r="AA15" s="520"/>
      <c r="AB15" s="208"/>
      <c r="AC15" s="138"/>
      <c r="AD15" s="133"/>
      <c r="AE15" s="719"/>
    </row>
    <row r="16" spans="1:31" ht="16.2" customHeight="1">
      <c r="A16" s="51">
        <v>3</v>
      </c>
      <c r="B16" s="51"/>
      <c r="C16" s="512"/>
      <c r="D16" s="139"/>
      <c r="E16" s="146"/>
      <c r="F16" s="132"/>
      <c r="G16" s="51">
        <v>3</v>
      </c>
      <c r="H16" s="51"/>
      <c r="I16" s="386"/>
      <c r="J16" s="143"/>
      <c r="K16" s="137"/>
      <c r="L16" s="132"/>
      <c r="M16" s="51">
        <v>3</v>
      </c>
      <c r="N16" s="51"/>
      <c r="O16" s="386"/>
      <c r="P16" s="446"/>
      <c r="Q16" s="137"/>
      <c r="R16" s="405"/>
      <c r="S16" s="51">
        <v>3</v>
      </c>
      <c r="T16" s="51">
        <v>74427</v>
      </c>
      <c r="U16" s="386" t="s">
        <v>1573</v>
      </c>
      <c r="V16" s="143">
        <v>2450</v>
      </c>
      <c r="W16" s="146"/>
      <c r="X16" s="405"/>
      <c r="Y16" s="51">
        <v>3</v>
      </c>
      <c r="Z16" s="51"/>
      <c r="AA16" s="512"/>
      <c r="AB16" s="139"/>
      <c r="AC16" s="137"/>
      <c r="AD16" s="132"/>
      <c r="AE16" s="720"/>
    </row>
    <row r="17" spans="1:31" ht="16.2" customHeight="1">
      <c r="A17" s="51">
        <v>3</v>
      </c>
      <c r="B17" s="51"/>
      <c r="C17" s="512"/>
      <c r="D17" s="139"/>
      <c r="E17" s="146"/>
      <c r="F17" s="132"/>
      <c r="G17" s="51">
        <v>3</v>
      </c>
      <c r="H17" s="51"/>
      <c r="I17" s="512"/>
      <c r="J17" s="139"/>
      <c r="K17" s="137"/>
      <c r="L17" s="132"/>
      <c r="M17" s="51">
        <v>3</v>
      </c>
      <c r="N17" s="51"/>
      <c r="O17" s="386"/>
      <c r="P17" s="446"/>
      <c r="Q17" s="137"/>
      <c r="R17" s="405"/>
      <c r="S17" s="51">
        <v>3</v>
      </c>
      <c r="T17" s="51">
        <v>74429</v>
      </c>
      <c r="U17" s="386" t="s">
        <v>745</v>
      </c>
      <c r="V17" s="143">
        <v>1650</v>
      </c>
      <c r="W17" s="146"/>
      <c r="X17" s="405"/>
      <c r="Y17" s="51">
        <v>3</v>
      </c>
      <c r="Z17" s="51"/>
      <c r="AA17" s="512"/>
      <c r="AB17" s="139"/>
      <c r="AC17" s="137"/>
      <c r="AD17" s="132"/>
      <c r="AE17" s="720"/>
    </row>
    <row r="18" spans="1:31" ht="15.75" customHeight="1" thickBot="1">
      <c r="A18" s="51">
        <v>3</v>
      </c>
      <c r="B18" s="51"/>
      <c r="C18" s="512"/>
      <c r="D18" s="139"/>
      <c r="E18" s="146"/>
      <c r="F18" s="161"/>
      <c r="G18" s="51">
        <v>3</v>
      </c>
      <c r="H18" s="51"/>
      <c r="I18" s="701"/>
      <c r="J18" s="209"/>
      <c r="K18" s="253"/>
      <c r="L18" s="134"/>
      <c r="M18" s="51">
        <v>3</v>
      </c>
      <c r="N18" s="51"/>
      <c r="O18" s="701"/>
      <c r="P18" s="209"/>
      <c r="Q18" s="253"/>
      <c r="R18" s="134"/>
      <c r="S18" s="51">
        <v>3</v>
      </c>
      <c r="T18" s="51"/>
      <c r="U18" s="701"/>
      <c r="V18" s="209"/>
      <c r="W18" s="253"/>
      <c r="X18" s="134"/>
      <c r="Y18" s="51">
        <v>3</v>
      </c>
      <c r="Z18" s="51"/>
      <c r="AA18" s="701"/>
      <c r="AB18" s="209"/>
      <c r="AC18" s="253"/>
      <c r="AD18" s="258"/>
      <c r="AE18" s="711"/>
    </row>
    <row r="19" spans="1:31" ht="15" customHeight="1" thickTop="1">
      <c r="A19" s="51">
        <v>4</v>
      </c>
      <c r="B19" s="51"/>
      <c r="C19" s="523" t="s">
        <v>692</v>
      </c>
      <c r="D19" s="535">
        <f>SUM(D13:D18)</f>
        <v>3800</v>
      </c>
      <c r="E19" s="28"/>
      <c r="F19" s="75">
        <f>SUM(F13:F18)</f>
        <v>0</v>
      </c>
      <c r="G19" s="51">
        <v>4</v>
      </c>
      <c r="H19" s="51"/>
      <c r="I19" s="712" t="s">
        <v>692</v>
      </c>
      <c r="J19" s="713">
        <f>SUM(J13:J18)</f>
        <v>4800</v>
      </c>
      <c r="K19" s="255"/>
      <c r="L19" s="256">
        <f>SUM(L13:L18)</f>
        <v>0</v>
      </c>
      <c r="M19" s="51">
        <v>4</v>
      </c>
      <c r="N19" s="51"/>
      <c r="O19" s="712" t="s">
        <v>692</v>
      </c>
      <c r="P19" s="713">
        <f>SUM(P13:P18)</f>
        <v>8050</v>
      </c>
      <c r="Q19" s="255"/>
      <c r="R19" s="256">
        <f>SUM(R13:R18)</f>
        <v>0</v>
      </c>
      <c r="S19" s="51">
        <v>4</v>
      </c>
      <c r="T19" s="51"/>
      <c r="U19" s="712" t="s">
        <v>692</v>
      </c>
      <c r="V19" s="713">
        <f>SUM(V13:V18)</f>
        <v>10300</v>
      </c>
      <c r="W19" s="255"/>
      <c r="X19" s="256">
        <f>SUM(X13:X18)</f>
        <v>0</v>
      </c>
      <c r="Y19" s="51">
        <v>4</v>
      </c>
      <c r="Z19" s="51"/>
      <c r="AA19" s="712" t="s">
        <v>692</v>
      </c>
      <c r="AB19" s="713">
        <f>SUM(AB13:AB18)</f>
        <v>0</v>
      </c>
      <c r="AC19" s="255"/>
      <c r="AD19" s="257">
        <f>SUM(AD13:AD18)</f>
        <v>0</v>
      </c>
      <c r="AE19" s="707">
        <f>D19+J19+P19+V19+AB19</f>
        <v>26950</v>
      </c>
    </row>
    <row r="20" spans="1:31" ht="15" customHeight="1">
      <c r="A20" s="51"/>
      <c r="B20" s="51"/>
      <c r="C20" s="13"/>
      <c r="D20" s="13"/>
      <c r="E20" s="13"/>
      <c r="F20" s="13"/>
      <c r="G20" s="51"/>
      <c r="H20" s="51"/>
      <c r="I20" s="13"/>
      <c r="J20"/>
      <c r="K20" s="13"/>
      <c r="L20" s="13"/>
      <c r="M20" s="51"/>
      <c r="N20" s="51"/>
      <c r="O20" s="489"/>
      <c r="P20" s="489"/>
      <c r="Q20" s="217"/>
      <c r="R20" s="224"/>
      <c r="S20" s="51"/>
      <c r="T20" s="51"/>
      <c r="U20" s="489"/>
      <c r="V20" s="489"/>
      <c r="W20" s="217"/>
      <c r="X20" s="224"/>
      <c r="Y20" s="51"/>
      <c r="Z20" s="51"/>
      <c r="AA20" s="489"/>
      <c r="AB20" s="489"/>
      <c r="AC20" s="217"/>
      <c r="AD20" s="527" t="s">
        <v>692</v>
      </c>
      <c r="AE20" s="100">
        <f>A松原市折込部数+M松原市折込部数+S松原市折込部数+Y松原市折込部数+AD19</f>
        <v>0</v>
      </c>
    </row>
    <row r="21" spans="1:31" ht="16.2" customHeight="1">
      <c r="A21" s="51">
        <v>2</v>
      </c>
      <c r="B21" s="488" t="s">
        <v>1429</v>
      </c>
      <c r="C21" s="46" t="s">
        <v>752</v>
      </c>
      <c r="D21"/>
      <c r="G21" s="51">
        <v>2</v>
      </c>
      <c r="H21" s="488" t="s">
        <v>1429</v>
      </c>
      <c r="J21"/>
      <c r="K21" s="15"/>
      <c r="M21" s="51">
        <v>2</v>
      </c>
      <c r="N21" s="488" t="s">
        <v>1429</v>
      </c>
      <c r="Q21" s="15"/>
      <c r="R21"/>
      <c r="S21" s="51">
        <v>2</v>
      </c>
      <c r="T21" s="488" t="s">
        <v>1429</v>
      </c>
      <c r="W21" s="15"/>
      <c r="X21"/>
      <c r="Y21" s="51">
        <v>2</v>
      </c>
      <c r="Z21" s="488" t="s">
        <v>1429</v>
      </c>
      <c r="AB21" s="15"/>
      <c r="AC21"/>
      <c r="AD21"/>
    </row>
    <row r="22" spans="1:31" ht="16.2" customHeight="1">
      <c r="A22" s="51">
        <v>3</v>
      </c>
      <c r="B22" s="51">
        <v>72335</v>
      </c>
      <c r="C22" s="441" t="s">
        <v>753</v>
      </c>
      <c r="D22" s="148">
        <v>2200</v>
      </c>
      <c r="E22" s="155"/>
      <c r="F22" s="404"/>
      <c r="G22" s="51">
        <v>3</v>
      </c>
      <c r="H22" s="51">
        <v>73329</v>
      </c>
      <c r="I22" s="441" t="s">
        <v>1127</v>
      </c>
      <c r="J22" s="148">
        <v>1300</v>
      </c>
      <c r="K22" s="155"/>
      <c r="L22" s="404"/>
      <c r="M22" s="51">
        <v>3</v>
      </c>
      <c r="N22" s="51">
        <v>75363</v>
      </c>
      <c r="O22" s="441" t="s">
        <v>1033</v>
      </c>
      <c r="P22" s="148">
        <v>1000</v>
      </c>
      <c r="Q22" s="130"/>
      <c r="R22" s="404"/>
      <c r="S22" s="51">
        <v>3</v>
      </c>
      <c r="T22" s="51">
        <v>74431</v>
      </c>
      <c r="U22" s="690" t="s">
        <v>1033</v>
      </c>
      <c r="V22" s="148">
        <v>2100</v>
      </c>
      <c r="W22" s="155"/>
      <c r="X22" s="404"/>
      <c r="Y22" s="51">
        <v>3</v>
      </c>
      <c r="Z22" s="51"/>
      <c r="AA22" s="688"/>
      <c r="AB22" s="511"/>
      <c r="AC22" s="130"/>
      <c r="AD22" s="541"/>
      <c r="AE22" s="513"/>
    </row>
    <row r="23" spans="1:31" ht="16.2" customHeight="1">
      <c r="A23" s="51">
        <v>3</v>
      </c>
      <c r="B23" s="51">
        <v>72337</v>
      </c>
      <c r="C23" s="386" t="s">
        <v>754</v>
      </c>
      <c r="D23" s="143">
        <v>700</v>
      </c>
      <c r="E23" s="142"/>
      <c r="F23" s="405"/>
      <c r="G23" s="51">
        <v>3</v>
      </c>
      <c r="H23" s="51">
        <v>73331</v>
      </c>
      <c r="I23" s="386" t="s">
        <v>754</v>
      </c>
      <c r="J23" s="143">
        <v>750</v>
      </c>
      <c r="K23" s="142"/>
      <c r="L23" s="405"/>
      <c r="M23" s="51">
        <v>3</v>
      </c>
      <c r="N23" s="51">
        <v>75365</v>
      </c>
      <c r="O23" s="698" t="s">
        <v>754</v>
      </c>
      <c r="P23" s="143">
        <v>1800</v>
      </c>
      <c r="Q23" s="168"/>
      <c r="R23" s="405"/>
      <c r="S23" s="51">
        <v>3</v>
      </c>
      <c r="T23" s="51">
        <v>74433</v>
      </c>
      <c r="U23" s="386" t="s">
        <v>753</v>
      </c>
      <c r="V23" s="143">
        <v>650</v>
      </c>
      <c r="W23" s="168"/>
      <c r="X23" s="405"/>
      <c r="Y23" s="51">
        <v>3</v>
      </c>
      <c r="Z23" s="51"/>
      <c r="AA23" s="561"/>
      <c r="AB23" s="515"/>
      <c r="AC23" s="168"/>
      <c r="AD23" s="550"/>
      <c r="AE23" s="516"/>
    </row>
    <row r="24" spans="1:31" ht="16.2" customHeight="1">
      <c r="A24" s="51">
        <v>3</v>
      </c>
      <c r="B24" s="51">
        <v>72339</v>
      </c>
      <c r="C24" s="386" t="s">
        <v>1345</v>
      </c>
      <c r="D24" s="143">
        <v>850</v>
      </c>
      <c r="E24" s="142"/>
      <c r="F24" s="405"/>
      <c r="G24" s="51">
        <v>3</v>
      </c>
      <c r="H24" s="51"/>
      <c r="I24" s="386"/>
      <c r="J24" s="143"/>
      <c r="K24" s="142"/>
      <c r="L24" s="405"/>
      <c r="M24" s="51">
        <v>3</v>
      </c>
      <c r="N24" s="51">
        <v>75367</v>
      </c>
      <c r="O24" s="386" t="s">
        <v>756</v>
      </c>
      <c r="P24" s="143">
        <v>1000</v>
      </c>
      <c r="Q24" s="168"/>
      <c r="R24" s="405"/>
      <c r="S24" s="51">
        <v>3</v>
      </c>
      <c r="T24" s="51">
        <v>74435</v>
      </c>
      <c r="U24" s="386" t="s">
        <v>1574</v>
      </c>
      <c r="V24" s="446" t="s">
        <v>1616</v>
      </c>
      <c r="W24" s="168"/>
      <c r="X24" s="405"/>
      <c r="Y24" s="51">
        <v>3</v>
      </c>
      <c r="Z24" s="51"/>
      <c r="AA24" s="561"/>
      <c r="AB24" s="515"/>
      <c r="AC24" s="168"/>
      <c r="AD24" s="550"/>
      <c r="AE24" s="516"/>
    </row>
    <row r="25" spans="1:31" ht="16.2" customHeight="1">
      <c r="A25" s="51">
        <v>3</v>
      </c>
      <c r="B25" s="51"/>
      <c r="C25" s="386"/>
      <c r="D25" s="446"/>
      <c r="E25" s="142"/>
      <c r="F25" s="405"/>
      <c r="G25" s="51">
        <v>3</v>
      </c>
      <c r="H25" s="51"/>
      <c r="I25" s="512"/>
      <c r="J25" s="139"/>
      <c r="K25" s="168"/>
      <c r="L25" s="132"/>
      <c r="M25" s="51">
        <v>3</v>
      </c>
      <c r="N25" s="51"/>
      <c r="O25" s="512"/>
      <c r="P25" s="515"/>
      <c r="Q25" s="168"/>
      <c r="R25" s="132"/>
      <c r="S25" s="51">
        <v>3</v>
      </c>
      <c r="T25" s="51">
        <v>74437</v>
      </c>
      <c r="U25" s="698" t="s">
        <v>754</v>
      </c>
      <c r="V25" s="143">
        <v>1900</v>
      </c>
      <c r="W25" s="168"/>
      <c r="X25" s="405"/>
      <c r="Y25" s="51">
        <v>3</v>
      </c>
      <c r="Z25" s="51"/>
      <c r="AA25" s="561"/>
      <c r="AB25" s="515"/>
      <c r="AC25" s="168"/>
      <c r="AD25" s="550"/>
      <c r="AE25" s="516"/>
    </row>
    <row r="26" spans="1:31" ht="16.2" customHeight="1">
      <c r="A26" s="51">
        <v>3</v>
      </c>
      <c r="B26" s="51"/>
      <c r="C26" s="386"/>
      <c r="D26" s="143"/>
      <c r="E26" s="142"/>
      <c r="F26" s="405"/>
      <c r="G26" s="51">
        <v>3</v>
      </c>
      <c r="H26" s="51"/>
      <c r="I26" s="512"/>
      <c r="J26" s="139"/>
      <c r="K26" s="168"/>
      <c r="L26" s="132"/>
      <c r="M26" s="51">
        <v>3</v>
      </c>
      <c r="N26" s="51"/>
      <c r="O26" s="512"/>
      <c r="P26" s="515"/>
      <c r="Q26" s="168"/>
      <c r="R26" s="163"/>
      <c r="S26" s="51">
        <v>3</v>
      </c>
      <c r="T26" s="51">
        <v>74439</v>
      </c>
      <c r="U26" s="386" t="s">
        <v>757</v>
      </c>
      <c r="V26" s="143">
        <v>2300</v>
      </c>
      <c r="W26" s="168"/>
      <c r="X26" s="405"/>
      <c r="Y26" s="51">
        <v>3</v>
      </c>
      <c r="Z26" s="51"/>
      <c r="AA26" s="561"/>
      <c r="AB26" s="515"/>
      <c r="AC26" s="168"/>
      <c r="AD26" s="550"/>
      <c r="AE26" s="516"/>
    </row>
    <row r="27" spans="1:31" ht="16.2" customHeight="1" thickBot="1">
      <c r="A27" s="51">
        <v>3</v>
      </c>
      <c r="B27" s="51"/>
      <c r="C27" s="520"/>
      <c r="D27" s="208"/>
      <c r="E27" s="167"/>
      <c r="F27" s="133"/>
      <c r="G27" s="51">
        <v>3</v>
      </c>
      <c r="H27" s="51"/>
      <c r="I27" s="520"/>
      <c r="J27" s="208"/>
      <c r="K27" s="169"/>
      <c r="L27" s="133"/>
      <c r="M27" s="51">
        <v>3</v>
      </c>
      <c r="N27" s="51"/>
      <c r="O27" s="699"/>
      <c r="P27" s="519"/>
      <c r="Q27" s="169"/>
      <c r="R27" s="164"/>
      <c r="S27" s="51">
        <v>3</v>
      </c>
      <c r="T27" s="673"/>
      <c r="U27" s="675"/>
      <c r="V27" s="519"/>
      <c r="W27" s="169"/>
      <c r="X27" s="133"/>
      <c r="Y27" s="51">
        <v>3</v>
      </c>
      <c r="Z27" s="51"/>
      <c r="AA27" s="699"/>
      <c r="AB27" s="519"/>
      <c r="AC27" s="169"/>
      <c r="AD27" s="562"/>
      <c r="AE27" s="516"/>
    </row>
    <row r="28" spans="1:31" ht="16.2" customHeight="1" thickTop="1">
      <c r="A28" s="51">
        <v>4</v>
      </c>
      <c r="B28" s="51"/>
      <c r="C28" s="523" t="s">
        <v>692</v>
      </c>
      <c r="D28" s="27">
        <f>SUM(D22:D27)</f>
        <v>3750</v>
      </c>
      <c r="E28" s="34"/>
      <c r="F28" s="75">
        <f>SUM(F22:F27)</f>
        <v>0</v>
      </c>
      <c r="G28" s="51">
        <v>4</v>
      </c>
      <c r="H28" s="51"/>
      <c r="I28" s="523" t="s">
        <v>692</v>
      </c>
      <c r="J28" s="27">
        <f>SUM(J22:J27)</f>
        <v>2050</v>
      </c>
      <c r="K28" s="37"/>
      <c r="L28" s="75">
        <f>SUM(L22:L27)</f>
        <v>0</v>
      </c>
      <c r="M28" s="51">
        <v>4</v>
      </c>
      <c r="N28" s="51"/>
      <c r="O28" s="523" t="s">
        <v>692</v>
      </c>
      <c r="P28" s="27">
        <f>SUM(P22:P27)</f>
        <v>3800</v>
      </c>
      <c r="Q28" s="37"/>
      <c r="R28" s="75">
        <f>SUM(R22:R27)</f>
        <v>0</v>
      </c>
      <c r="S28" s="51">
        <v>4</v>
      </c>
      <c r="T28" s="51"/>
      <c r="U28" s="523" t="s">
        <v>692</v>
      </c>
      <c r="V28" s="27">
        <f>SUM(V22:V27)</f>
        <v>6950</v>
      </c>
      <c r="W28" s="37"/>
      <c r="X28" s="75">
        <f>SUM(X22:X27)</f>
        <v>0</v>
      </c>
      <c r="Y28" s="51">
        <v>4</v>
      </c>
      <c r="Z28" s="51"/>
      <c r="AA28" s="523" t="s">
        <v>692</v>
      </c>
      <c r="AB28" s="522">
        <f>SUM(AB22:AB27)</f>
        <v>0</v>
      </c>
      <c r="AC28" s="37"/>
      <c r="AD28" s="689">
        <f>SUM(AD22:AD27)</f>
        <v>0</v>
      </c>
      <c r="AE28" s="524">
        <f>D28+J28+P28+V28+AB28</f>
        <v>16550</v>
      </c>
    </row>
    <row r="29" spans="1:31" ht="16.2" customHeight="1">
      <c r="A29" s="51"/>
      <c r="B29" s="51"/>
      <c r="C29" s="526"/>
      <c r="D29" s="210"/>
      <c r="E29" s="228"/>
      <c r="F29" s="229"/>
      <c r="G29" s="51"/>
      <c r="H29" s="51"/>
      <c r="I29" s="526"/>
      <c r="J29" s="210"/>
      <c r="K29" s="230"/>
      <c r="L29" s="231"/>
      <c r="M29" s="51"/>
      <c r="N29" s="51"/>
      <c r="O29" s="526"/>
      <c r="P29" s="526"/>
      <c r="Q29" s="230"/>
      <c r="R29" s="229"/>
      <c r="S29" s="51"/>
      <c r="T29" s="51"/>
      <c r="U29" s="526"/>
      <c r="V29" s="526"/>
      <c r="W29" s="230"/>
      <c r="X29" s="229"/>
      <c r="Y29" s="51"/>
      <c r="Z29" s="51"/>
      <c r="AA29" s="526"/>
      <c r="AB29" s="526"/>
      <c r="AC29" s="36"/>
      <c r="AD29" s="527" t="s">
        <v>692</v>
      </c>
      <c r="AE29" s="93">
        <f>A羽曳野市折込部数+M羽曳野市折込部数+S羽曳野市折込部数+Y羽曳野市折込部数+AD28</f>
        <v>0</v>
      </c>
    </row>
    <row r="30" spans="1:31" ht="16.2" customHeight="1">
      <c r="A30" s="51">
        <v>2</v>
      </c>
      <c r="B30" s="488" t="s">
        <v>1430</v>
      </c>
      <c r="C30" s="46" t="s">
        <v>758</v>
      </c>
      <c r="D30" s="12"/>
      <c r="E30" s="32"/>
      <c r="F30" s="223"/>
      <c r="G30" s="51">
        <v>2</v>
      </c>
      <c r="H30" s="488" t="s">
        <v>1430</v>
      </c>
      <c r="I30" s="464"/>
      <c r="J30" s="211"/>
      <c r="K30" s="232"/>
      <c r="L30" s="223"/>
      <c r="M30" s="51">
        <v>2</v>
      </c>
      <c r="N30" s="488" t="s">
        <v>1430</v>
      </c>
      <c r="O30" s="464"/>
      <c r="P30" s="464"/>
      <c r="Q30" s="232"/>
      <c r="R30" s="223"/>
      <c r="S30" s="51">
        <v>2</v>
      </c>
      <c r="T30" s="488" t="s">
        <v>1430</v>
      </c>
      <c r="U30" s="464"/>
      <c r="V30" s="464"/>
      <c r="W30" s="232"/>
      <c r="X30" s="223"/>
      <c r="Y30" s="51">
        <v>2</v>
      </c>
      <c r="Z30" s="488" t="s">
        <v>1430</v>
      </c>
      <c r="AA30" s="464"/>
      <c r="AB30" s="464"/>
      <c r="AC30" s="35"/>
      <c r="AD30" s="16"/>
      <c r="AE30" s="11"/>
    </row>
    <row r="31" spans="1:31" ht="15.75" customHeight="1">
      <c r="A31" s="51">
        <v>3</v>
      </c>
      <c r="B31" s="51">
        <v>72341</v>
      </c>
      <c r="C31" s="441" t="s">
        <v>765</v>
      </c>
      <c r="D31" s="148">
        <v>1600</v>
      </c>
      <c r="E31" s="142"/>
      <c r="F31" s="404"/>
      <c r="G31" s="51">
        <v>3</v>
      </c>
      <c r="H31" s="51">
        <v>73333</v>
      </c>
      <c r="I31" s="441" t="s">
        <v>1298</v>
      </c>
      <c r="J31" s="148">
        <v>3000</v>
      </c>
      <c r="K31" s="142"/>
      <c r="L31" s="404"/>
      <c r="M31" s="51">
        <v>3</v>
      </c>
      <c r="N31" s="51">
        <v>75369</v>
      </c>
      <c r="O31" s="691" t="s">
        <v>768</v>
      </c>
      <c r="P31" s="148">
        <v>2000</v>
      </c>
      <c r="Q31" s="142"/>
      <c r="R31" s="404"/>
      <c r="S31" s="51">
        <v>3</v>
      </c>
      <c r="T31" s="51">
        <v>74441</v>
      </c>
      <c r="U31" s="691" t="s">
        <v>769</v>
      </c>
      <c r="V31" s="148">
        <v>1600</v>
      </c>
      <c r="W31" s="142"/>
      <c r="X31" s="404"/>
      <c r="Y31" s="51">
        <v>3</v>
      </c>
      <c r="Z31" s="51"/>
      <c r="AA31" s="688"/>
      <c r="AB31" s="511"/>
      <c r="AC31" s="170"/>
      <c r="AD31" s="171"/>
      <c r="AE31" s="513"/>
    </row>
    <row r="32" spans="1:31" ht="16.2" customHeight="1">
      <c r="A32" s="51">
        <v>3</v>
      </c>
      <c r="B32" s="51">
        <v>72343</v>
      </c>
      <c r="C32" s="691" t="s">
        <v>766</v>
      </c>
      <c r="D32" s="352">
        <v>800</v>
      </c>
      <c r="E32" s="165"/>
      <c r="F32" s="405"/>
      <c r="G32" s="51">
        <v>3</v>
      </c>
      <c r="H32" s="51">
        <v>73335</v>
      </c>
      <c r="I32" s="691" t="s">
        <v>766</v>
      </c>
      <c r="J32" s="352">
        <v>1850</v>
      </c>
      <c r="K32" s="165"/>
      <c r="L32" s="405"/>
      <c r="M32" s="51">
        <v>3</v>
      </c>
      <c r="N32" s="51">
        <v>75371</v>
      </c>
      <c r="O32" s="691" t="s">
        <v>769</v>
      </c>
      <c r="P32" s="352">
        <v>1000</v>
      </c>
      <c r="Q32" s="165"/>
      <c r="R32" s="405"/>
      <c r="S32" s="51">
        <v>3</v>
      </c>
      <c r="T32" s="51">
        <v>74445</v>
      </c>
      <c r="U32" s="691" t="s">
        <v>768</v>
      </c>
      <c r="V32" s="352">
        <v>1450</v>
      </c>
      <c r="W32" s="142"/>
      <c r="X32" s="405"/>
      <c r="Y32" s="51">
        <v>3</v>
      </c>
      <c r="Z32" s="51"/>
      <c r="AA32" s="667"/>
      <c r="AB32" s="543"/>
      <c r="AC32" s="172"/>
      <c r="AD32" s="173"/>
      <c r="AE32" s="516"/>
    </row>
    <row r="33" spans="1:31" ht="16.2" customHeight="1">
      <c r="A33" s="51">
        <v>3</v>
      </c>
      <c r="B33" s="51"/>
      <c r="C33" s="692"/>
      <c r="D33" s="226"/>
      <c r="E33" s="165"/>
      <c r="F33" s="157"/>
      <c r="G33" s="51">
        <v>3</v>
      </c>
      <c r="H33" s="51">
        <v>73337</v>
      </c>
      <c r="I33" s="445" t="s">
        <v>1299</v>
      </c>
      <c r="J33" s="352">
        <v>1900</v>
      </c>
      <c r="K33" s="165"/>
      <c r="L33" s="405"/>
      <c r="M33" s="51">
        <v>3</v>
      </c>
      <c r="N33" s="51">
        <v>75373</v>
      </c>
      <c r="O33" s="691" t="s">
        <v>767</v>
      </c>
      <c r="P33" s="352">
        <v>1100</v>
      </c>
      <c r="Q33" s="165"/>
      <c r="R33" s="405"/>
      <c r="S33" s="51">
        <v>3</v>
      </c>
      <c r="T33" s="51"/>
      <c r="U33" s="691"/>
      <c r="V33" s="352"/>
      <c r="W33" s="142"/>
      <c r="X33" s="405"/>
      <c r="Y33" s="51">
        <v>3</v>
      </c>
      <c r="Z33" s="51"/>
      <c r="AA33" s="667"/>
      <c r="AB33" s="543"/>
      <c r="AC33" s="172"/>
      <c r="AD33" s="173"/>
      <c r="AE33" s="516"/>
    </row>
    <row r="34" spans="1:31" ht="16.2" customHeight="1" thickBot="1">
      <c r="A34" s="51">
        <v>3</v>
      </c>
      <c r="B34" s="51"/>
      <c r="C34" s="520"/>
      <c r="D34" s="208"/>
      <c r="E34" s="167"/>
      <c r="F34" s="133"/>
      <c r="G34" s="51">
        <v>3</v>
      </c>
      <c r="H34" s="51"/>
      <c r="I34" s="699"/>
      <c r="J34" s="208"/>
      <c r="K34" s="169"/>
      <c r="L34" s="133"/>
      <c r="M34" s="51">
        <v>3</v>
      </c>
      <c r="N34" s="51"/>
      <c r="O34" s="699"/>
      <c r="P34" s="519"/>
      <c r="Q34" s="169"/>
      <c r="R34" s="164"/>
      <c r="S34" s="51">
        <v>3</v>
      </c>
      <c r="T34" s="51"/>
      <c r="U34" s="520"/>
      <c r="V34" s="208"/>
      <c r="W34" s="138"/>
      <c r="X34" s="133"/>
      <c r="Y34" s="51">
        <v>3</v>
      </c>
      <c r="Z34" s="51"/>
      <c r="AA34" s="699"/>
      <c r="AB34" s="519"/>
      <c r="AC34" s="169"/>
      <c r="AD34" s="175"/>
      <c r="AE34" s="516"/>
    </row>
    <row r="35" spans="1:31" ht="16.2" customHeight="1" thickTop="1">
      <c r="A35" s="51">
        <v>4</v>
      </c>
      <c r="B35" s="51"/>
      <c r="C35" s="523" t="s">
        <v>692</v>
      </c>
      <c r="D35" s="27">
        <f>SUM(D31:D34)</f>
        <v>2400</v>
      </c>
      <c r="E35" s="34"/>
      <c r="F35" s="75">
        <f>SUM(F31:F34)</f>
        <v>0</v>
      </c>
      <c r="G35" s="51">
        <v>4</v>
      </c>
      <c r="H35" s="51"/>
      <c r="I35" s="523" t="s">
        <v>692</v>
      </c>
      <c r="J35" s="27">
        <f>SUM(J31:J34)</f>
        <v>6750</v>
      </c>
      <c r="K35" s="37"/>
      <c r="L35" s="75">
        <f>SUM(L31:L34)</f>
        <v>0</v>
      </c>
      <c r="M35" s="51">
        <v>4</v>
      </c>
      <c r="N35" s="51"/>
      <c r="O35" s="523" t="s">
        <v>692</v>
      </c>
      <c r="P35" s="27">
        <f>SUM(P31:P34)</f>
        <v>4100</v>
      </c>
      <c r="Q35" s="37"/>
      <c r="R35" s="75">
        <f>SUM(R31:R34)</f>
        <v>0</v>
      </c>
      <c r="S35" s="51">
        <v>4</v>
      </c>
      <c r="T35" s="51"/>
      <c r="U35" s="523" t="s">
        <v>692</v>
      </c>
      <c r="V35" s="27">
        <f>SUM(V31:V34)</f>
        <v>3050</v>
      </c>
      <c r="W35" s="28"/>
      <c r="X35" s="75">
        <f>SUM(X31:X34)</f>
        <v>0</v>
      </c>
      <c r="Y35" s="51">
        <v>4</v>
      </c>
      <c r="Z35" s="51"/>
      <c r="AA35" s="523" t="s">
        <v>692</v>
      </c>
      <c r="AB35" s="283">
        <f>SUM(AB31:AB34)</f>
        <v>0</v>
      </c>
      <c r="AC35" s="282"/>
      <c r="AD35" s="75">
        <f>SUM(AD31:AD34)</f>
        <v>0</v>
      </c>
      <c r="AE35" s="524">
        <f>D35+J35+P35+V35+AB35</f>
        <v>16300</v>
      </c>
    </row>
    <row r="36" spans="1:31" ht="16.2" customHeight="1">
      <c r="A36" s="51">
        <v>9</v>
      </c>
      <c r="B36" s="51"/>
      <c r="D36" s="1"/>
      <c r="G36" s="51">
        <v>9</v>
      </c>
      <c r="H36" s="51"/>
      <c r="J36" s="1"/>
      <c r="L36" s="233"/>
      <c r="M36" s="51">
        <v>9</v>
      </c>
      <c r="N36" s="51"/>
      <c r="O36" s="489"/>
      <c r="P36" s="489"/>
      <c r="Q36" s="224"/>
      <c r="R36" s="233"/>
      <c r="S36" s="51">
        <v>9</v>
      </c>
      <c r="T36" s="51"/>
      <c r="U36" s="489"/>
      <c r="V36" s="489"/>
      <c r="W36" s="224"/>
      <c r="X36" s="224"/>
      <c r="Y36" s="51">
        <v>9</v>
      </c>
      <c r="Z36" s="51"/>
      <c r="AA36" s="489"/>
      <c r="AB36" s="489"/>
      <c r="AC36" s="224"/>
      <c r="AD36" s="527" t="s">
        <v>692</v>
      </c>
      <c r="AE36" s="93">
        <f>A藤井寺市折込部数+M藤井寺市折込部数+S藤井寺市折込部数+Y藤井寺市折込部数+AD35</f>
        <v>0</v>
      </c>
    </row>
    <row r="37" spans="1:31" ht="16.2" customHeight="1">
      <c r="C37" s="489"/>
      <c r="D37" s="298"/>
      <c r="E37" s="217"/>
      <c r="F37" s="224"/>
      <c r="G37" s="224"/>
      <c r="H37" s="224"/>
      <c r="I37" s="489"/>
      <c r="J37" s="298"/>
      <c r="K37" s="224"/>
      <c r="L37" s="224"/>
      <c r="M37" s="224"/>
      <c r="N37" s="224"/>
      <c r="O37" s="489"/>
      <c r="P37" s="489"/>
      <c r="Q37" s="224"/>
      <c r="R37" s="224"/>
      <c r="S37" s="224"/>
      <c r="T37" s="224"/>
      <c r="U37" s="489"/>
      <c r="V37" s="489"/>
      <c r="W37" s="224"/>
      <c r="X37" s="224"/>
      <c r="Y37" s="224"/>
      <c r="Z37" s="224"/>
      <c r="AA37" s="489"/>
      <c r="AB37" s="489"/>
      <c r="AC37" s="224"/>
      <c r="AD37" s="224"/>
      <c r="AE37" s="489"/>
    </row>
    <row r="38" spans="1:31" ht="16.2" customHeight="1">
      <c r="C38" s="489"/>
      <c r="D38" s="298"/>
      <c r="E38" s="217"/>
      <c r="F38" s="224"/>
      <c r="G38" s="224"/>
      <c r="H38" s="224"/>
      <c r="I38" s="489"/>
      <c r="J38" s="298"/>
      <c r="K38" s="224"/>
      <c r="L38" s="224"/>
      <c r="M38" s="224"/>
      <c r="N38" s="224"/>
      <c r="O38" s="489"/>
      <c r="P38" s="489"/>
      <c r="Q38" s="224"/>
      <c r="R38" s="224"/>
      <c r="S38" s="224"/>
      <c r="T38" s="224"/>
      <c r="U38" s="489"/>
      <c r="V38" s="489"/>
      <c r="W38" s="224"/>
      <c r="X38" s="224"/>
      <c r="Y38" s="224"/>
      <c r="Z38" s="224"/>
      <c r="AA38" s="489"/>
      <c r="AB38" s="489"/>
      <c r="AC38" s="224"/>
      <c r="AD38" s="224"/>
      <c r="AE38" s="489"/>
    </row>
    <row r="39" spans="1:31" ht="16.2" customHeight="1">
      <c r="C39" s="489"/>
      <c r="D39" s="298"/>
      <c r="E39" s="217"/>
      <c r="F39" s="224"/>
      <c r="G39" s="224"/>
      <c r="H39" s="224"/>
      <c r="I39" s="489"/>
      <c r="J39" s="298"/>
      <c r="K39" s="224"/>
      <c r="L39" s="224"/>
      <c r="M39" s="224"/>
      <c r="N39" s="224"/>
      <c r="O39" s="489"/>
      <c r="P39" s="489"/>
      <c r="Q39" s="224"/>
      <c r="R39" s="224"/>
      <c r="S39" s="224"/>
      <c r="T39" s="224"/>
      <c r="U39" s="489"/>
      <c r="V39" s="489"/>
      <c r="W39" s="224"/>
      <c r="X39" s="224"/>
      <c r="Y39" s="224"/>
      <c r="Z39" s="224"/>
      <c r="AA39" s="489"/>
      <c r="AB39" s="489"/>
      <c r="AC39" s="224"/>
      <c r="AD39" s="224"/>
      <c r="AE39" s="489"/>
    </row>
    <row r="40" spans="1:31" ht="16.2" customHeight="1">
      <c r="C40" s="489"/>
      <c r="D40" s="298"/>
      <c r="E40" s="217"/>
      <c r="F40" s="224"/>
      <c r="G40" s="224"/>
      <c r="H40" s="224"/>
      <c r="I40" s="489"/>
      <c r="J40" s="298"/>
      <c r="K40" s="224"/>
      <c r="L40" s="224"/>
      <c r="M40" s="224"/>
      <c r="N40" s="224"/>
      <c r="O40" s="489"/>
      <c r="P40" s="489"/>
      <c r="Q40" s="224"/>
      <c r="R40" s="224"/>
      <c r="S40" s="224"/>
      <c r="T40" s="224"/>
      <c r="U40" s="489"/>
      <c r="V40" s="489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1:31" ht="16.2" customHeight="1">
      <c r="C41" s="489"/>
      <c r="D41" s="298"/>
      <c r="E41" s="217"/>
      <c r="F41" s="224"/>
      <c r="G41" s="224"/>
      <c r="H41" s="224"/>
      <c r="I41" s="489"/>
      <c r="J41" s="298"/>
      <c r="K41" s="224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1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298"/>
      <c r="E103" s="217"/>
      <c r="F103" s="224"/>
      <c r="G103" s="224"/>
      <c r="H103" s="224"/>
      <c r="I103" s="489"/>
      <c r="J103" s="298"/>
      <c r="K103" s="224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298"/>
      <c r="E104" s="217"/>
      <c r="F104" s="224"/>
      <c r="G104" s="224"/>
      <c r="H104" s="224"/>
      <c r="I104" s="489"/>
      <c r="J104" s="298"/>
      <c r="K104" s="224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298"/>
      <c r="E105" s="217"/>
      <c r="F105" s="224"/>
      <c r="G105" s="224"/>
      <c r="H105" s="224"/>
      <c r="I105" s="489"/>
      <c r="J105" s="298"/>
      <c r="K105" s="224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298"/>
      <c r="E106" s="217"/>
      <c r="F106" s="224"/>
      <c r="G106" s="224"/>
      <c r="H106" s="224"/>
      <c r="I106" s="489"/>
      <c r="J106" s="298"/>
      <c r="K106" s="224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298"/>
      <c r="E107" s="217"/>
      <c r="F107" s="224"/>
      <c r="G107" s="224"/>
      <c r="H107" s="224"/>
      <c r="I107" s="489"/>
      <c r="J107" s="298"/>
      <c r="K107" s="224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298"/>
      <c r="E108" s="217"/>
      <c r="F108" s="224"/>
      <c r="G108" s="224"/>
      <c r="H108" s="224"/>
      <c r="I108" s="489"/>
      <c r="J108" s="298"/>
      <c r="K108" s="224"/>
      <c r="L108" s="224"/>
      <c r="M108" s="224"/>
      <c r="N108" s="224"/>
      <c r="O108" s="489"/>
      <c r="P108" s="489"/>
      <c r="Q108" s="224"/>
      <c r="R108" s="224"/>
      <c r="S108" s="224"/>
      <c r="T108" s="224"/>
      <c r="U108" s="489"/>
      <c r="V108" s="489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C109" s="489"/>
      <c r="D109" s="298"/>
      <c r="E109" s="217"/>
      <c r="F109" s="224"/>
      <c r="G109" s="224"/>
      <c r="H109" s="224"/>
      <c r="I109" s="489"/>
      <c r="J109" s="298"/>
      <c r="K109" s="224"/>
      <c r="L109" s="224"/>
      <c r="M109" s="224"/>
      <c r="N109" s="224"/>
      <c r="O109" s="489"/>
      <c r="P109" s="489"/>
      <c r="Q109" s="224"/>
      <c r="R109" s="224"/>
      <c r="S109" s="224"/>
      <c r="T109" s="224"/>
      <c r="U109" s="489"/>
      <c r="V109" s="489"/>
      <c r="W109" s="224"/>
      <c r="X109" s="224"/>
      <c r="Y109" s="224"/>
      <c r="Z109" s="224"/>
      <c r="AA109" s="489"/>
      <c r="AB109" s="489"/>
      <c r="AC109" s="224"/>
      <c r="AD109" s="224"/>
      <c r="AE109" s="489"/>
    </row>
    <row r="110" spans="3:31" ht="16.2" customHeight="1">
      <c r="C110" s="489"/>
      <c r="D110" s="298"/>
      <c r="E110" s="217"/>
      <c r="F110" s="224"/>
      <c r="G110" s="224"/>
      <c r="H110" s="224"/>
      <c r="I110" s="489"/>
      <c r="J110" s="298"/>
      <c r="K110" s="224"/>
      <c r="L110" s="224"/>
      <c r="M110" s="224"/>
      <c r="N110" s="224"/>
      <c r="O110" s="489"/>
      <c r="P110" s="489"/>
      <c r="Q110" s="224"/>
      <c r="R110" s="224"/>
      <c r="S110" s="224"/>
      <c r="T110" s="224"/>
      <c r="U110" s="489"/>
      <c r="V110" s="489"/>
      <c r="W110" s="224"/>
      <c r="X110" s="224"/>
      <c r="Y110" s="224"/>
      <c r="Z110" s="224"/>
      <c r="AA110" s="489"/>
      <c r="AB110" s="489"/>
      <c r="AC110" s="224"/>
      <c r="AD110" s="224"/>
      <c r="AE110" s="489"/>
    </row>
    <row r="111" spans="3:31" ht="16.2" customHeight="1">
      <c r="C111" s="489"/>
      <c r="D111" s="298"/>
      <c r="E111" s="217"/>
      <c r="F111" s="224"/>
      <c r="G111" s="224"/>
      <c r="H111" s="224"/>
      <c r="I111" s="489"/>
      <c r="J111" s="298"/>
      <c r="K111" s="224"/>
      <c r="L111" s="224"/>
      <c r="M111" s="224"/>
      <c r="N111" s="224"/>
      <c r="O111" s="489"/>
      <c r="P111" s="489"/>
      <c r="Q111" s="224"/>
      <c r="R111" s="224"/>
      <c r="S111" s="224"/>
      <c r="T111" s="224"/>
      <c r="U111" s="489"/>
      <c r="V111" s="489"/>
      <c r="W111" s="224"/>
      <c r="X111" s="224"/>
      <c r="Y111" s="224"/>
      <c r="Z111" s="224"/>
      <c r="AA111" s="489"/>
      <c r="AB111" s="489"/>
      <c r="AC111" s="224"/>
      <c r="AD111" s="224"/>
      <c r="AE111" s="489"/>
    </row>
    <row r="112" spans="3:31" ht="16.2" customHeight="1">
      <c r="C112" s="489"/>
      <c r="D112" s="298"/>
      <c r="E112" s="217"/>
      <c r="F112" s="224"/>
      <c r="G112" s="224"/>
      <c r="H112" s="224"/>
      <c r="I112" s="489"/>
      <c r="J112" s="298"/>
      <c r="K112" s="224"/>
      <c r="L112" s="224"/>
      <c r="M112" s="224"/>
      <c r="N112" s="224"/>
      <c r="O112" s="489"/>
      <c r="P112" s="489"/>
      <c r="Q112" s="224"/>
      <c r="R112" s="224"/>
      <c r="S112" s="224"/>
      <c r="T112" s="224"/>
      <c r="U112" s="489"/>
      <c r="V112" s="489"/>
      <c r="W112" s="224"/>
      <c r="X112" s="224"/>
      <c r="Y112" s="224"/>
      <c r="Z112" s="224"/>
      <c r="AA112" s="489"/>
      <c r="AB112" s="489"/>
      <c r="AC112" s="224"/>
      <c r="AD112" s="224"/>
      <c r="AE112" s="489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</sheetData>
  <sheetProtection formatCells="0"/>
  <mergeCells count="14">
    <mergeCell ref="D7:L8"/>
    <mergeCell ref="C10:F10"/>
    <mergeCell ref="I10:L10"/>
    <mergeCell ref="AA10:AD10"/>
    <mergeCell ref="W7:X7"/>
    <mergeCell ref="O10:R10"/>
    <mergeCell ref="U10:X10"/>
    <mergeCell ref="P7:Q8"/>
    <mergeCell ref="AA7:AE8"/>
    <mergeCell ref="C2:F3"/>
    <mergeCell ref="D5:L6"/>
    <mergeCell ref="W5:X5"/>
    <mergeCell ref="P5:V6"/>
    <mergeCell ref="AA5:AC6"/>
  </mergeCells>
  <phoneticPr fontId="2"/>
  <conditionalFormatting sqref="F13:F15 L13:L15 R13:R17 X22:X26 R22:R24 L22:L24 F22:F26 F31:F32 L31:L33 R31:R33 X31:X33 X13:X17">
    <cfRule type="cellIs" dxfId="23" priority="1" operator="greaterThan">
      <formula>D13</formula>
    </cfRule>
  </conditionalFormatting>
  <hyperlinks>
    <hyperlink ref="C2:F3" location="提案表紙!A1" display="大阪府折込資料表" xr:uid="{00000000-0004-0000-17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&amp;L松原市・羽曳野市・藤井寺市&amp;RP-20/34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tabColor rgb="FFB6D2F5"/>
    <pageSetUpPr fitToPage="1"/>
  </sheetPr>
  <dimension ref="A1:AE525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770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771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772</v>
      </c>
      <c r="P7" s="827">
        <f>提案表紙!G9</f>
        <v>0</v>
      </c>
      <c r="Q7" s="828"/>
      <c r="R7" s="7" t="s">
        <v>676</v>
      </c>
      <c r="S7"/>
      <c r="T7"/>
      <c r="U7" s="410">
        <f>富田林市折込部数+河内長野市折込部数+南河内郡折込部数+大阪狭山市折込部数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1431</v>
      </c>
      <c r="C12" s="46" t="s">
        <v>776</v>
      </c>
      <c r="D12"/>
      <c r="G12" s="51">
        <v>2</v>
      </c>
      <c r="H12" s="488" t="s">
        <v>1431</v>
      </c>
      <c r="J12"/>
      <c r="K12" s="15"/>
      <c r="M12" s="51">
        <v>2</v>
      </c>
      <c r="N12" s="488" t="s">
        <v>1431</v>
      </c>
      <c r="Q12" s="15"/>
      <c r="R12"/>
      <c r="S12" s="51">
        <v>2</v>
      </c>
      <c r="T12" s="488" t="s">
        <v>1431</v>
      </c>
      <c r="W12" s="15"/>
      <c r="X12"/>
      <c r="Y12" s="51">
        <v>2</v>
      </c>
      <c r="Z12" s="488" t="s">
        <v>1431</v>
      </c>
      <c r="AB12" s="15"/>
      <c r="AC12"/>
      <c r="AD12"/>
    </row>
    <row r="13" spans="1:31" ht="16.2" customHeight="1">
      <c r="A13" s="51">
        <v>3</v>
      </c>
      <c r="B13" s="51">
        <v>72345</v>
      </c>
      <c r="C13" s="441" t="s">
        <v>773</v>
      </c>
      <c r="D13" s="148">
        <v>900</v>
      </c>
      <c r="E13" s="155"/>
      <c r="F13" s="404"/>
      <c r="G13" s="51">
        <v>3</v>
      </c>
      <c r="H13" s="51">
        <v>73339</v>
      </c>
      <c r="I13" s="441" t="s">
        <v>1119</v>
      </c>
      <c r="J13" s="148">
        <v>1800</v>
      </c>
      <c r="K13" s="155"/>
      <c r="L13" s="404"/>
      <c r="M13" s="51">
        <v>3</v>
      </c>
      <c r="N13" s="51">
        <v>75375</v>
      </c>
      <c r="O13" s="441" t="s">
        <v>681</v>
      </c>
      <c r="P13" s="148">
        <v>1400</v>
      </c>
      <c r="Q13" s="170"/>
      <c r="R13" s="404"/>
      <c r="S13" s="51">
        <v>3</v>
      </c>
      <c r="T13" s="51">
        <v>74447</v>
      </c>
      <c r="U13" s="690" t="s">
        <v>774</v>
      </c>
      <c r="V13" s="148">
        <v>2900</v>
      </c>
      <c r="W13" s="155"/>
      <c r="X13" s="404"/>
      <c r="Y13" s="51">
        <v>3</v>
      </c>
      <c r="Z13" s="51"/>
      <c r="AA13" s="688"/>
      <c r="AB13" s="511"/>
      <c r="AC13" s="130"/>
      <c r="AD13" s="541"/>
      <c r="AE13" s="513"/>
    </row>
    <row r="14" spans="1:31" ht="16.2" customHeight="1">
      <c r="A14" s="51">
        <v>3</v>
      </c>
      <c r="B14" s="51">
        <v>72347</v>
      </c>
      <c r="C14" s="386" t="s">
        <v>1119</v>
      </c>
      <c r="D14" s="143">
        <v>2750</v>
      </c>
      <c r="E14" s="142"/>
      <c r="F14" s="405"/>
      <c r="G14" s="51">
        <v>3</v>
      </c>
      <c r="H14" s="51">
        <v>73340</v>
      </c>
      <c r="I14" s="698" t="s">
        <v>1603</v>
      </c>
      <c r="J14" s="143">
        <v>1050</v>
      </c>
      <c r="K14" s="142"/>
      <c r="L14" s="405"/>
      <c r="M14" s="51">
        <v>3</v>
      </c>
      <c r="N14" s="51">
        <v>75377</v>
      </c>
      <c r="O14" s="386" t="s">
        <v>774</v>
      </c>
      <c r="P14" s="143">
        <v>1500</v>
      </c>
      <c r="Q14" s="168"/>
      <c r="R14" s="405"/>
      <c r="S14" s="51">
        <v>3</v>
      </c>
      <c r="T14" s="51">
        <v>74451</v>
      </c>
      <c r="U14" s="698" t="s">
        <v>79</v>
      </c>
      <c r="V14" s="143">
        <v>1900</v>
      </c>
      <c r="W14" s="168"/>
      <c r="X14" s="405"/>
      <c r="Y14" s="51">
        <v>3</v>
      </c>
      <c r="Z14" s="51"/>
      <c r="AA14" s="561"/>
      <c r="AB14" s="515"/>
      <c r="AC14" s="168"/>
      <c r="AD14" s="550"/>
      <c r="AE14" s="516"/>
    </row>
    <row r="15" spans="1:31" ht="16.2" customHeight="1">
      <c r="A15" s="51">
        <v>3</v>
      </c>
      <c r="B15" s="51">
        <v>72355</v>
      </c>
      <c r="C15" s="386" t="s">
        <v>794</v>
      </c>
      <c r="D15" s="143">
        <v>2100</v>
      </c>
      <c r="E15" s="142"/>
      <c r="F15" s="132"/>
      <c r="G15" s="51">
        <v>3</v>
      </c>
      <c r="H15" s="51">
        <v>73342</v>
      </c>
      <c r="I15" s="386" t="s">
        <v>777</v>
      </c>
      <c r="J15" s="143">
        <v>1550</v>
      </c>
      <c r="K15" s="142"/>
      <c r="L15" s="405"/>
      <c r="M15" s="51">
        <v>3</v>
      </c>
      <c r="N15" s="51">
        <v>75379</v>
      </c>
      <c r="O15" s="386" t="s">
        <v>775</v>
      </c>
      <c r="P15" s="143">
        <v>800</v>
      </c>
      <c r="Q15" s="168"/>
      <c r="R15" s="405"/>
      <c r="S15" s="51">
        <v>3</v>
      </c>
      <c r="T15" s="51">
        <v>74459</v>
      </c>
      <c r="U15" s="698" t="s">
        <v>794</v>
      </c>
      <c r="V15" s="143">
        <v>2350</v>
      </c>
      <c r="W15" s="168"/>
      <c r="X15" s="405"/>
      <c r="Y15" s="51">
        <v>3</v>
      </c>
      <c r="Z15" s="51"/>
      <c r="AA15" s="561"/>
      <c r="AB15" s="515"/>
      <c r="AC15" s="168"/>
      <c r="AD15" s="550"/>
      <c r="AE15" s="516"/>
    </row>
    <row r="16" spans="1:31" ht="16.2" customHeight="1">
      <c r="A16" s="51">
        <v>3</v>
      </c>
      <c r="B16" s="51"/>
      <c r="C16" s="386"/>
      <c r="D16" s="143"/>
      <c r="E16" s="142"/>
      <c r="F16" s="132"/>
      <c r="G16" s="51">
        <v>3</v>
      </c>
      <c r="H16" s="51">
        <v>73347</v>
      </c>
      <c r="I16" s="386" t="s">
        <v>794</v>
      </c>
      <c r="J16" s="143">
        <v>1250</v>
      </c>
      <c r="K16" s="142"/>
      <c r="L16" s="405"/>
      <c r="M16" s="51">
        <v>3</v>
      </c>
      <c r="N16" s="51">
        <v>75387</v>
      </c>
      <c r="O16" s="386" t="s">
        <v>795</v>
      </c>
      <c r="P16" s="143">
        <v>2500</v>
      </c>
      <c r="Q16" s="168"/>
      <c r="R16" s="405"/>
      <c r="S16" s="51">
        <v>3</v>
      </c>
      <c r="T16" s="51"/>
      <c r="U16" s="386"/>
      <c r="V16" s="493"/>
      <c r="W16" s="168"/>
      <c r="X16" s="405"/>
      <c r="Y16" s="51">
        <v>3</v>
      </c>
      <c r="Z16" s="51"/>
      <c r="AA16" s="561"/>
      <c r="AB16" s="515"/>
      <c r="AC16" s="168"/>
      <c r="AD16" s="550"/>
      <c r="AE16" s="516"/>
    </row>
    <row r="17" spans="1:31" ht="16.2" customHeight="1" thickBot="1">
      <c r="A17" s="51">
        <v>3</v>
      </c>
      <c r="B17" s="51"/>
      <c r="C17" s="512"/>
      <c r="D17" s="139"/>
      <c r="E17" s="142"/>
      <c r="F17" s="132"/>
      <c r="G17" s="51">
        <v>3</v>
      </c>
      <c r="H17" s="51">
        <v>73349</v>
      </c>
      <c r="I17" s="512" t="s">
        <v>793</v>
      </c>
      <c r="J17" s="139">
        <v>500</v>
      </c>
      <c r="K17" s="168"/>
      <c r="L17" s="132"/>
      <c r="M17" s="51">
        <v>3</v>
      </c>
      <c r="N17" s="51"/>
      <c r="O17" s="512"/>
      <c r="P17" s="515"/>
      <c r="Q17" s="168"/>
      <c r="R17" s="163"/>
      <c r="S17" s="51">
        <v>3</v>
      </c>
      <c r="T17" s="51"/>
      <c r="U17" s="512"/>
      <c r="V17" s="218"/>
      <c r="W17" s="168"/>
      <c r="X17" s="132"/>
      <c r="Y17" s="51">
        <v>3</v>
      </c>
      <c r="Z17" s="51"/>
      <c r="AA17" s="561"/>
      <c r="AB17" s="515"/>
      <c r="AC17" s="168"/>
      <c r="AD17" s="550"/>
      <c r="AE17" s="516"/>
    </row>
    <row r="18" spans="1:31" ht="16.2" customHeight="1" thickTop="1">
      <c r="A18" s="51">
        <v>4</v>
      </c>
      <c r="B18" s="51"/>
      <c r="C18" s="523" t="s">
        <v>692</v>
      </c>
      <c r="D18" s="27">
        <f>SUM(D13:D17)</f>
        <v>5750</v>
      </c>
      <c r="E18" s="34"/>
      <c r="F18" s="75">
        <f>SUM(F13:F17)</f>
        <v>0</v>
      </c>
      <c r="G18" s="51">
        <v>4</v>
      </c>
      <c r="H18" s="51"/>
      <c r="I18" s="523" t="s">
        <v>692</v>
      </c>
      <c r="J18" s="27">
        <f>SUM(J13:J17)</f>
        <v>6150</v>
      </c>
      <c r="K18" s="37"/>
      <c r="L18" s="75">
        <f>SUM(L13:L17)</f>
        <v>0</v>
      </c>
      <c r="M18" s="51">
        <v>4</v>
      </c>
      <c r="N18" s="51"/>
      <c r="O18" s="523" t="s">
        <v>692</v>
      </c>
      <c r="P18" s="27">
        <f>SUM(P13:P17)</f>
        <v>6200</v>
      </c>
      <c r="Q18" s="37"/>
      <c r="R18" s="75">
        <f>SUM(R13:R17)</f>
        <v>0</v>
      </c>
      <c r="S18" s="51">
        <v>4</v>
      </c>
      <c r="T18" s="51"/>
      <c r="U18" s="523" t="s">
        <v>692</v>
      </c>
      <c r="V18" s="27">
        <f>SUM(V13:V17)</f>
        <v>7150</v>
      </c>
      <c r="W18" s="37"/>
      <c r="X18" s="75">
        <f>SUM(X13:X17)</f>
        <v>0</v>
      </c>
      <c r="Y18" s="51">
        <v>4</v>
      </c>
      <c r="Z18" s="51"/>
      <c r="AA18" s="523" t="s">
        <v>692</v>
      </c>
      <c r="AB18" s="522">
        <f>SUM(AB13:AB17)</f>
        <v>0</v>
      </c>
      <c r="AC18" s="37"/>
      <c r="AD18" s="689">
        <f>SUM(AD13:AD17)</f>
        <v>0</v>
      </c>
      <c r="AE18" s="524">
        <f>D18+J18+P18+V18+AB18</f>
        <v>25250</v>
      </c>
    </row>
    <row r="19" spans="1:31" ht="16.2" customHeight="1">
      <c r="A19" s="51"/>
      <c r="B19" s="51"/>
      <c r="C19" s="526"/>
      <c r="D19" s="210"/>
      <c r="E19" s="228"/>
      <c r="F19" s="229"/>
      <c r="G19" s="51"/>
      <c r="H19" s="51"/>
      <c r="I19" s="526"/>
      <c r="J19" s="210"/>
      <c r="K19" s="230"/>
      <c r="L19" s="231"/>
      <c r="M19" s="51"/>
      <c r="N19" s="51"/>
      <c r="O19" s="526"/>
      <c r="P19" s="526"/>
      <c r="Q19" s="230"/>
      <c r="R19" s="229"/>
      <c r="S19" s="51"/>
      <c r="T19" s="51"/>
      <c r="U19" s="526"/>
      <c r="V19" s="526"/>
      <c r="W19" s="230"/>
      <c r="X19" s="229"/>
      <c r="Y19" s="51"/>
      <c r="Z19" s="51"/>
      <c r="AA19" s="526"/>
      <c r="AB19" s="526"/>
      <c r="AC19" s="36"/>
      <c r="AD19" s="527" t="s">
        <v>692</v>
      </c>
      <c r="AE19" s="93">
        <f>A富田林市折込部数+M富田林市折込部数+S富田林市折込部数+Y富田林市折込部数+AD18</f>
        <v>0</v>
      </c>
    </row>
    <row r="20" spans="1:31" ht="16.2" customHeight="1">
      <c r="A20" s="51">
        <v>2</v>
      </c>
      <c r="B20" s="488" t="s">
        <v>1432</v>
      </c>
      <c r="C20" s="46" t="s">
        <v>372</v>
      </c>
      <c r="D20" s="12"/>
      <c r="E20" s="32"/>
      <c r="F20" s="223"/>
      <c r="G20" s="51">
        <v>2</v>
      </c>
      <c r="H20" s="488" t="s">
        <v>1432</v>
      </c>
      <c r="I20" s="464"/>
      <c r="J20" s="211"/>
      <c r="K20" s="232"/>
      <c r="L20" s="223"/>
      <c r="M20" s="51">
        <v>2</v>
      </c>
      <c r="N20" s="488" t="s">
        <v>1432</v>
      </c>
      <c r="O20" s="464"/>
      <c r="P20" s="464"/>
      <c r="Q20" s="232"/>
      <c r="R20" s="223"/>
      <c r="S20" s="51">
        <v>2</v>
      </c>
      <c r="T20" s="488" t="s">
        <v>1432</v>
      </c>
      <c r="U20" s="464"/>
      <c r="V20" s="464"/>
      <c r="W20" s="232"/>
      <c r="X20" s="223"/>
      <c r="Y20" s="51">
        <v>2</v>
      </c>
      <c r="Z20" s="488" t="s">
        <v>1432</v>
      </c>
      <c r="AA20" s="464"/>
      <c r="AB20" s="464"/>
      <c r="AC20" s="35"/>
      <c r="AD20" s="16"/>
      <c r="AE20" s="11"/>
    </row>
    <row r="21" spans="1:31" ht="16.2" customHeight="1">
      <c r="A21" s="51">
        <v>3</v>
      </c>
      <c r="B21" s="51">
        <v>72349</v>
      </c>
      <c r="C21" s="441" t="s">
        <v>777</v>
      </c>
      <c r="D21" s="148">
        <v>3700</v>
      </c>
      <c r="E21" s="142"/>
      <c r="F21" s="404"/>
      <c r="G21" s="51">
        <v>3</v>
      </c>
      <c r="H21" s="51"/>
      <c r="I21" s="751"/>
      <c r="J21" s="497"/>
      <c r="K21" s="142"/>
      <c r="L21" s="404"/>
      <c r="M21" s="51">
        <v>3</v>
      </c>
      <c r="N21" s="51">
        <v>75381</v>
      </c>
      <c r="O21" s="691" t="s">
        <v>779</v>
      </c>
      <c r="P21" s="148">
        <v>1400</v>
      </c>
      <c r="Q21" s="142"/>
      <c r="R21" s="404"/>
      <c r="S21" s="51">
        <v>3</v>
      </c>
      <c r="T21" s="51">
        <v>74453</v>
      </c>
      <c r="U21" s="691" t="s">
        <v>781</v>
      </c>
      <c r="V21" s="148">
        <v>2950</v>
      </c>
      <c r="W21" s="142"/>
      <c r="X21" s="404"/>
      <c r="Y21" s="51">
        <v>3</v>
      </c>
      <c r="Z21" s="51"/>
      <c r="AA21" s="688"/>
      <c r="AB21" s="511"/>
      <c r="AC21" s="170"/>
      <c r="AD21" s="171"/>
      <c r="AE21" s="513"/>
    </row>
    <row r="22" spans="1:31" ht="16.2" customHeight="1">
      <c r="A22" s="51">
        <v>3</v>
      </c>
      <c r="B22" s="51">
        <v>72351</v>
      </c>
      <c r="C22" s="691" t="s">
        <v>778</v>
      </c>
      <c r="D22" s="352">
        <v>3650</v>
      </c>
      <c r="E22" s="165"/>
      <c r="F22" s="405"/>
      <c r="G22" s="51">
        <v>3</v>
      </c>
      <c r="H22" s="51"/>
      <c r="I22" s="691"/>
      <c r="J22" s="493"/>
      <c r="K22" s="165"/>
      <c r="L22" s="405"/>
      <c r="M22" s="51">
        <v>3</v>
      </c>
      <c r="N22" s="51">
        <v>75382</v>
      </c>
      <c r="O22" s="692" t="s">
        <v>1526</v>
      </c>
      <c r="P22" s="226">
        <v>1150</v>
      </c>
      <c r="Q22" s="165"/>
      <c r="R22" s="260"/>
      <c r="S22" s="51">
        <v>3</v>
      </c>
      <c r="T22" s="51">
        <v>74457</v>
      </c>
      <c r="U22" s="691" t="s">
        <v>1572</v>
      </c>
      <c r="V22" s="352">
        <v>2250</v>
      </c>
      <c r="W22" s="142"/>
      <c r="X22" s="405"/>
      <c r="Y22" s="51">
        <v>3</v>
      </c>
      <c r="Z22" s="51"/>
      <c r="AA22" s="667"/>
      <c r="AB22" s="543"/>
      <c r="AC22" s="172"/>
      <c r="AD22" s="173"/>
      <c r="AE22" s="516"/>
    </row>
    <row r="23" spans="1:31" ht="16.2" customHeight="1">
      <c r="A23" s="51">
        <v>3</v>
      </c>
      <c r="B23" s="51"/>
      <c r="C23" s="691"/>
      <c r="D23" s="352"/>
      <c r="E23" s="165"/>
      <c r="F23" s="405"/>
      <c r="G23" s="51">
        <v>3</v>
      </c>
      <c r="H23" s="51"/>
      <c r="I23" s="691"/>
      <c r="J23" s="352"/>
      <c r="K23" s="165"/>
      <c r="L23" s="405"/>
      <c r="M23" s="51">
        <v>3</v>
      </c>
      <c r="N23" s="51">
        <v>75383</v>
      </c>
      <c r="O23" s="691" t="s">
        <v>777</v>
      </c>
      <c r="P23" s="352">
        <v>2850</v>
      </c>
      <c r="Q23" s="165"/>
      <c r="R23" s="405"/>
      <c r="S23" s="51">
        <v>3</v>
      </c>
      <c r="T23" s="51"/>
      <c r="U23" s="691"/>
      <c r="V23" s="493"/>
      <c r="W23" s="142"/>
      <c r="X23" s="405"/>
      <c r="Y23" s="51">
        <v>3</v>
      </c>
      <c r="Z23" s="51"/>
      <c r="AA23" s="667"/>
      <c r="AB23" s="543"/>
      <c r="AC23" s="172"/>
      <c r="AD23" s="173"/>
      <c r="AE23" s="516"/>
    </row>
    <row r="24" spans="1:31" ht="16.2" customHeight="1">
      <c r="A24" s="51">
        <v>3</v>
      </c>
      <c r="B24" s="51"/>
      <c r="C24" s="692"/>
      <c r="D24" s="715"/>
      <c r="E24" s="165"/>
      <c r="F24" s="157"/>
      <c r="G24" s="51">
        <v>3</v>
      </c>
      <c r="H24" s="51"/>
      <c r="I24" s="692"/>
      <c r="J24" s="226"/>
      <c r="K24" s="165"/>
      <c r="L24" s="157"/>
      <c r="M24" s="51">
        <v>3</v>
      </c>
      <c r="N24" s="51">
        <v>75385</v>
      </c>
      <c r="O24" s="691" t="s">
        <v>780</v>
      </c>
      <c r="P24" s="352">
        <v>2000</v>
      </c>
      <c r="Q24" s="165"/>
      <c r="R24" s="405"/>
      <c r="S24" s="51">
        <v>3</v>
      </c>
      <c r="T24" s="51"/>
      <c r="U24" s="692"/>
      <c r="V24" s="226"/>
      <c r="W24" s="142"/>
      <c r="X24" s="157"/>
      <c r="Y24" s="51">
        <v>3</v>
      </c>
      <c r="Z24" s="51"/>
      <c r="AA24" s="667"/>
      <c r="AB24" s="543"/>
      <c r="AC24" s="172"/>
      <c r="AD24" s="173"/>
      <c r="AE24" s="516"/>
    </row>
    <row r="25" spans="1:31" ht="16.2" customHeight="1">
      <c r="A25" s="51">
        <v>3</v>
      </c>
      <c r="B25" s="51"/>
      <c r="C25" s="692"/>
      <c r="D25" s="226"/>
      <c r="E25" s="165"/>
      <c r="F25" s="157"/>
      <c r="G25" s="51">
        <v>3</v>
      </c>
      <c r="H25" s="51"/>
      <c r="I25" s="692"/>
      <c r="J25" s="226"/>
      <c r="K25" s="165"/>
      <c r="L25" s="157"/>
      <c r="M25" s="51">
        <v>3</v>
      </c>
      <c r="N25" s="51"/>
      <c r="O25" s="692"/>
      <c r="P25" s="226"/>
      <c r="Q25" s="165"/>
      <c r="R25" s="260"/>
      <c r="S25" s="51">
        <v>3</v>
      </c>
      <c r="T25" s="51"/>
      <c r="U25" s="692"/>
      <c r="V25" s="226"/>
      <c r="W25" s="142"/>
      <c r="X25" s="157"/>
      <c r="Y25" s="51">
        <v>3</v>
      </c>
      <c r="Z25" s="51"/>
      <c r="AA25" s="667"/>
      <c r="AB25" s="543"/>
      <c r="AC25" s="172"/>
      <c r="AD25" s="173"/>
      <c r="AE25" s="516"/>
    </row>
    <row r="26" spans="1:31" ht="16.2" customHeight="1">
      <c r="A26" s="51">
        <v>3</v>
      </c>
      <c r="B26" s="51"/>
      <c r="C26" s="692"/>
      <c r="D26" s="226"/>
      <c r="E26" s="165"/>
      <c r="F26" s="157"/>
      <c r="G26" s="51">
        <v>3</v>
      </c>
      <c r="H26" s="51"/>
      <c r="I26" s="692"/>
      <c r="J26" s="226"/>
      <c r="K26" s="165"/>
      <c r="L26" s="157"/>
      <c r="M26" s="51">
        <v>3</v>
      </c>
      <c r="N26" s="51"/>
      <c r="O26" s="692"/>
      <c r="P26" s="226"/>
      <c r="Q26" s="165"/>
      <c r="R26" s="260"/>
      <c r="S26" s="51">
        <v>3</v>
      </c>
      <c r="T26" s="51"/>
      <c r="U26" s="692"/>
      <c r="V26" s="226"/>
      <c r="W26" s="142"/>
      <c r="X26" s="157"/>
      <c r="Y26" s="51">
        <v>3</v>
      </c>
      <c r="Z26" s="51"/>
      <c r="AA26" s="667"/>
      <c r="AB26" s="543"/>
      <c r="AC26" s="172"/>
      <c r="AD26" s="173"/>
      <c r="AE26" s="516"/>
    </row>
    <row r="27" spans="1:31" ht="16.2" customHeight="1" thickBot="1">
      <c r="A27" s="51">
        <v>3</v>
      </c>
      <c r="B27" s="51"/>
      <c r="C27" s="520"/>
      <c r="D27" s="208"/>
      <c r="E27" s="167"/>
      <c r="F27" s="133"/>
      <c r="G27" s="51">
        <v>3</v>
      </c>
      <c r="H27" s="51"/>
      <c r="I27" s="699"/>
      <c r="J27" s="208"/>
      <c r="K27" s="169"/>
      <c r="L27" s="133"/>
      <c r="M27" s="51">
        <v>3</v>
      </c>
      <c r="N27" s="51"/>
      <c r="O27" s="699"/>
      <c r="P27" s="519"/>
      <c r="Q27" s="169"/>
      <c r="R27" s="164"/>
      <c r="S27" s="51">
        <v>3</v>
      </c>
      <c r="T27" s="51"/>
      <c r="U27" s="520"/>
      <c r="V27" s="208"/>
      <c r="W27" s="138"/>
      <c r="X27" s="133"/>
      <c r="Y27" s="51">
        <v>3</v>
      </c>
      <c r="Z27" s="51"/>
      <c r="AA27" s="699"/>
      <c r="AB27" s="519"/>
      <c r="AC27" s="169"/>
      <c r="AD27" s="175"/>
      <c r="AE27" s="516"/>
    </row>
    <row r="28" spans="1:31" ht="16.2" customHeight="1" thickTop="1">
      <c r="A28" s="51">
        <v>4</v>
      </c>
      <c r="B28" s="51"/>
      <c r="C28" s="523" t="s">
        <v>692</v>
      </c>
      <c r="D28" s="27">
        <f>SUM(D21:D27)</f>
        <v>7350</v>
      </c>
      <c r="E28" s="34"/>
      <c r="F28" s="75">
        <f>SUM(F21:F27)</f>
        <v>0</v>
      </c>
      <c r="G28" s="51">
        <v>4</v>
      </c>
      <c r="H28" s="51"/>
      <c r="I28" s="523" t="s">
        <v>692</v>
      </c>
      <c r="J28" s="27">
        <f>SUM(J21:J27)</f>
        <v>0</v>
      </c>
      <c r="K28" s="37"/>
      <c r="L28" s="75">
        <f>SUM(L21:L27)</f>
        <v>0</v>
      </c>
      <c r="M28" s="51">
        <v>4</v>
      </c>
      <c r="N28" s="51"/>
      <c r="O28" s="523" t="s">
        <v>692</v>
      </c>
      <c r="P28" s="27">
        <f>SUM(P21:P27)</f>
        <v>7400</v>
      </c>
      <c r="Q28" s="37"/>
      <c r="R28" s="75">
        <f>SUM(R21:R27)</f>
        <v>0</v>
      </c>
      <c r="S28" s="51">
        <v>4</v>
      </c>
      <c r="T28" s="51"/>
      <c r="U28" s="523" t="s">
        <v>692</v>
      </c>
      <c r="V28" s="27">
        <f>SUM(V21:V27)</f>
        <v>5200</v>
      </c>
      <c r="W28" s="28"/>
      <c r="X28" s="75">
        <f>SUM(X21:X27)</f>
        <v>0</v>
      </c>
      <c r="Y28" s="51">
        <v>4</v>
      </c>
      <c r="Z28" s="51"/>
      <c r="AA28" s="523" t="s">
        <v>692</v>
      </c>
      <c r="AB28" s="283">
        <f>SUM(AB21:AB27)</f>
        <v>0</v>
      </c>
      <c r="AC28" s="282"/>
      <c r="AD28" s="75">
        <f>SUM(AD21:AD27)</f>
        <v>0</v>
      </c>
      <c r="AE28" s="524">
        <f>D28+J28+P28+V28+AB28</f>
        <v>19950</v>
      </c>
    </row>
    <row r="29" spans="1:31" ht="16.2" customHeight="1">
      <c r="A29" s="51"/>
      <c r="B29" s="51"/>
      <c r="D29" s="1"/>
      <c r="G29" s="51"/>
      <c r="H29" s="51"/>
      <c r="J29" s="1"/>
      <c r="L29" s="233"/>
      <c r="M29" s="51"/>
      <c r="N29" s="51"/>
      <c r="O29" s="489"/>
      <c r="P29" s="489"/>
      <c r="Q29" s="224"/>
      <c r="R29" s="233"/>
      <c r="S29" s="51"/>
      <c r="T29" s="51"/>
      <c r="U29" s="489"/>
      <c r="V29" s="489"/>
      <c r="W29" s="224"/>
      <c r="X29" s="224"/>
      <c r="Y29" s="51"/>
      <c r="Z29" s="51"/>
      <c r="AA29" s="489"/>
      <c r="AB29" s="489"/>
      <c r="AC29" s="224"/>
      <c r="AD29" s="527" t="s">
        <v>692</v>
      </c>
      <c r="AE29" s="93">
        <f>A河内永野市折込部数+M河内長野市折込部数+S河内長野市折込部数+Y河内長野市折込部数+AD28</f>
        <v>0</v>
      </c>
    </row>
    <row r="30" spans="1:31" ht="16.2" customHeight="1">
      <c r="A30" s="51">
        <v>2</v>
      </c>
      <c r="B30" s="488" t="s">
        <v>1433</v>
      </c>
      <c r="C30" s="46" t="s">
        <v>791</v>
      </c>
      <c r="D30"/>
      <c r="G30" s="51">
        <v>2</v>
      </c>
      <c r="H30" s="488" t="s">
        <v>1433</v>
      </c>
      <c r="J30"/>
      <c r="K30" s="15"/>
      <c r="M30" s="51">
        <v>2</v>
      </c>
      <c r="N30" s="488" t="s">
        <v>1433</v>
      </c>
      <c r="Q30" s="15"/>
      <c r="R30"/>
      <c r="S30" s="51">
        <v>2</v>
      </c>
      <c r="T30" s="488" t="s">
        <v>1433</v>
      </c>
      <c r="W30" s="15"/>
      <c r="X30"/>
      <c r="Y30" s="51">
        <v>2</v>
      </c>
      <c r="Z30" s="488" t="s">
        <v>1433</v>
      </c>
      <c r="AB30" s="15"/>
      <c r="AC30"/>
      <c r="AD30"/>
    </row>
    <row r="31" spans="1:31" ht="16.2" customHeight="1">
      <c r="A31" s="51">
        <v>3</v>
      </c>
      <c r="B31" s="51">
        <v>72353</v>
      </c>
      <c r="C31" s="441" t="s">
        <v>792</v>
      </c>
      <c r="D31" s="148">
        <v>700</v>
      </c>
      <c r="E31" s="155"/>
      <c r="F31" s="404"/>
      <c r="G31" s="51">
        <v>3</v>
      </c>
      <c r="H31" s="51"/>
      <c r="I31" s="441"/>
      <c r="J31" s="148"/>
      <c r="K31" s="155"/>
      <c r="L31" s="404"/>
      <c r="M31" s="51">
        <v>3</v>
      </c>
      <c r="N31" s="51">
        <v>75389</v>
      </c>
      <c r="O31" s="441" t="s">
        <v>1508</v>
      </c>
      <c r="P31" s="148">
        <v>600</v>
      </c>
      <c r="Q31" s="130"/>
      <c r="R31" s="404"/>
      <c r="S31" s="51">
        <v>3</v>
      </c>
      <c r="T31" s="51"/>
      <c r="U31" s="690"/>
      <c r="V31" s="148"/>
      <c r="W31" s="155"/>
      <c r="X31" s="404"/>
      <c r="Y31" s="51">
        <v>3</v>
      </c>
      <c r="Z31" s="51"/>
      <c r="AA31" s="688"/>
      <c r="AB31" s="511"/>
      <c r="AC31" s="130"/>
      <c r="AD31" s="541"/>
      <c r="AE31" s="513"/>
    </row>
    <row r="32" spans="1:31" ht="16.2" customHeight="1">
      <c r="A32" s="51">
        <v>3</v>
      </c>
      <c r="B32" s="51"/>
      <c r="C32" s="386"/>
      <c r="D32" s="143"/>
      <c r="E32" s="142"/>
      <c r="F32" s="405"/>
      <c r="G32" s="51">
        <v>3</v>
      </c>
      <c r="H32" s="51"/>
      <c r="I32" s="386"/>
      <c r="J32" s="143"/>
      <c r="K32" s="142"/>
      <c r="L32" s="405"/>
      <c r="M32" s="51">
        <v>3</v>
      </c>
      <c r="N32" s="51"/>
      <c r="O32" s="698"/>
      <c r="P32" s="544"/>
      <c r="Q32" s="168"/>
      <c r="R32" s="405"/>
      <c r="S32" s="51">
        <v>3</v>
      </c>
      <c r="T32" s="51"/>
      <c r="U32" s="512"/>
      <c r="V32" s="139"/>
      <c r="W32" s="168"/>
      <c r="X32" s="132"/>
      <c r="Y32" s="51">
        <v>3</v>
      </c>
      <c r="Z32" s="51"/>
      <c r="AA32" s="561"/>
      <c r="AB32" s="515"/>
      <c r="AC32" s="168"/>
      <c r="AD32" s="550"/>
      <c r="AE32" s="516"/>
    </row>
    <row r="33" spans="1:31" ht="16.2" customHeight="1">
      <c r="A33" s="51">
        <v>3</v>
      </c>
      <c r="B33" s="51"/>
      <c r="C33" s="512"/>
      <c r="D33" s="715"/>
      <c r="E33" s="142"/>
      <c r="F33" s="132"/>
      <c r="G33" s="51">
        <v>3</v>
      </c>
      <c r="H33" s="51"/>
      <c r="I33" s="386"/>
      <c r="J33" s="143"/>
      <c r="K33" s="142"/>
      <c r="L33" s="132"/>
      <c r="M33" s="51">
        <v>3</v>
      </c>
      <c r="N33" s="51"/>
      <c r="O33" s="512"/>
      <c r="P33" s="515"/>
      <c r="Q33" s="168"/>
      <c r="R33" s="163"/>
      <c r="S33" s="51">
        <v>3</v>
      </c>
      <c r="T33" s="51"/>
      <c r="U33" s="512"/>
      <c r="V33" s="515"/>
      <c r="W33" s="168"/>
      <c r="X33" s="132"/>
      <c r="Y33" s="51">
        <v>3</v>
      </c>
      <c r="Z33" s="51"/>
      <c r="AA33" s="561"/>
      <c r="AB33" s="515"/>
      <c r="AC33" s="168"/>
      <c r="AD33" s="550"/>
      <c r="AE33" s="516"/>
    </row>
    <row r="34" spans="1:31" ht="16.2" customHeight="1" thickBot="1">
      <c r="A34" s="51">
        <v>3</v>
      </c>
      <c r="B34" s="51"/>
      <c r="C34" s="694"/>
      <c r="D34" s="678"/>
      <c r="E34" s="277"/>
      <c r="F34" s="161"/>
      <c r="G34" s="51">
        <v>3</v>
      </c>
      <c r="H34" s="51"/>
      <c r="I34" s="716"/>
      <c r="J34" s="583"/>
      <c r="K34" s="277"/>
      <c r="L34" s="161"/>
      <c r="M34" s="51">
        <v>3</v>
      </c>
      <c r="N34" s="51"/>
      <c r="O34" s="694"/>
      <c r="P34" s="549"/>
      <c r="Q34" s="279"/>
      <c r="R34" s="278"/>
      <c r="S34" s="51">
        <v>3</v>
      </c>
      <c r="T34" s="51"/>
      <c r="U34" s="694"/>
      <c r="V34" s="549"/>
      <c r="W34" s="279"/>
      <c r="X34" s="161"/>
      <c r="Y34" s="51">
        <v>3</v>
      </c>
      <c r="Z34" s="51"/>
      <c r="AA34" s="695"/>
      <c r="AB34" s="549"/>
      <c r="AC34" s="279"/>
      <c r="AD34" s="717"/>
      <c r="AE34" s="516"/>
    </row>
    <row r="35" spans="1:31" ht="16.2" customHeight="1" thickTop="1">
      <c r="A35" s="51">
        <v>4</v>
      </c>
      <c r="B35" s="51"/>
      <c r="C35" s="523" t="s">
        <v>692</v>
      </c>
      <c r="D35" s="27">
        <f>SUM(D31:D34)</f>
        <v>700</v>
      </c>
      <c r="E35" s="34"/>
      <c r="F35" s="75">
        <f>SUM(F31:F34)</f>
        <v>0</v>
      </c>
      <c r="G35" s="51">
        <v>4</v>
      </c>
      <c r="H35" s="51"/>
      <c r="I35" s="523" t="s">
        <v>692</v>
      </c>
      <c r="J35" s="27">
        <f>SUM(J31:J34)</f>
        <v>0</v>
      </c>
      <c r="K35" s="37"/>
      <c r="L35" s="75">
        <f>SUM(L31:L34)</f>
        <v>0</v>
      </c>
      <c r="M35" s="51">
        <v>4</v>
      </c>
      <c r="N35" s="51"/>
      <c r="O35" s="523" t="s">
        <v>692</v>
      </c>
      <c r="P35" s="27">
        <f>SUM(P31:P34)</f>
        <v>600</v>
      </c>
      <c r="Q35" s="37"/>
      <c r="R35" s="75">
        <f>SUM(R31:R34)</f>
        <v>0</v>
      </c>
      <c r="S35" s="51">
        <v>4</v>
      </c>
      <c r="T35" s="51"/>
      <c r="U35" s="523" t="s">
        <v>692</v>
      </c>
      <c r="V35" s="27">
        <f>SUM(V31:V34)</f>
        <v>0</v>
      </c>
      <c r="W35" s="37"/>
      <c r="X35" s="75">
        <f>SUM(X31:X34)</f>
        <v>0</v>
      </c>
      <c r="Y35" s="51">
        <v>4</v>
      </c>
      <c r="Z35" s="51"/>
      <c r="AA35" s="523" t="s">
        <v>692</v>
      </c>
      <c r="AB35" s="522">
        <f>SUM(AB31:AB34)</f>
        <v>0</v>
      </c>
      <c r="AC35" s="37"/>
      <c r="AD35" s="689">
        <f>SUM(AD31:AD34)</f>
        <v>0</v>
      </c>
      <c r="AE35" s="524">
        <f>D35+J35+P35+V35+AB35</f>
        <v>1300</v>
      </c>
    </row>
    <row r="36" spans="1:31" ht="16.2" customHeight="1">
      <c r="A36" s="51"/>
      <c r="B36" s="51"/>
      <c r="C36" s="526"/>
      <c r="D36" s="210"/>
      <c r="E36" s="228"/>
      <c r="F36" s="229"/>
      <c r="G36" s="51"/>
      <c r="H36" s="51"/>
      <c r="I36" s="526"/>
      <c r="J36" s="210"/>
      <c r="K36" s="230"/>
      <c r="L36" s="231"/>
      <c r="M36" s="51"/>
      <c r="N36" s="51"/>
      <c r="O36" s="526"/>
      <c r="P36" s="526"/>
      <c r="Q36" s="230"/>
      <c r="R36" s="229"/>
      <c r="S36" s="51"/>
      <c r="T36" s="51"/>
      <c r="U36" s="526"/>
      <c r="V36" s="526"/>
      <c r="W36" s="230"/>
      <c r="X36" s="229"/>
      <c r="Y36" s="51"/>
      <c r="Z36" s="51"/>
      <c r="AA36" s="526"/>
      <c r="AB36" s="526"/>
      <c r="AC36" s="36"/>
      <c r="AD36" s="527" t="s">
        <v>692</v>
      </c>
      <c r="AE36" s="93">
        <f>A南河内郡折込部数+M南河内郡折込部数+S南河内郡折込部数+Y南河内郡折込部数+AD35</f>
        <v>0</v>
      </c>
    </row>
    <row r="37" spans="1:31" ht="16.2" customHeight="1">
      <c r="A37" s="51">
        <v>2</v>
      </c>
      <c r="B37" s="488" t="s">
        <v>1434</v>
      </c>
      <c r="C37" s="46" t="s">
        <v>684</v>
      </c>
      <c r="D37" s="12"/>
      <c r="E37" s="32"/>
      <c r="F37" s="223"/>
      <c r="G37" s="51">
        <v>2</v>
      </c>
      <c r="H37" s="488" t="s">
        <v>1434</v>
      </c>
      <c r="I37" s="464"/>
      <c r="J37" s="211"/>
      <c r="K37" s="232"/>
      <c r="L37" s="223"/>
      <c r="M37" s="51">
        <v>2</v>
      </c>
      <c r="N37" s="488" t="s">
        <v>1434</v>
      </c>
      <c r="O37" s="489"/>
      <c r="P37" s="464"/>
      <c r="Q37" s="232"/>
      <c r="R37" s="223"/>
      <c r="S37" s="51">
        <v>2</v>
      </c>
      <c r="T37" s="488" t="s">
        <v>1434</v>
      </c>
      <c r="U37" s="464"/>
      <c r="V37" s="464"/>
      <c r="W37" s="232"/>
      <c r="X37" s="223"/>
      <c r="Y37" s="51">
        <v>2</v>
      </c>
      <c r="Z37" s="488" t="s">
        <v>1434</v>
      </c>
      <c r="AA37" s="464"/>
      <c r="AB37" s="464"/>
      <c r="AC37" s="35"/>
      <c r="AD37" s="16"/>
      <c r="AE37" s="11"/>
    </row>
    <row r="38" spans="1:31" ht="16.2" customHeight="1">
      <c r="A38" s="51">
        <v>3</v>
      </c>
      <c r="B38" s="51">
        <v>72359</v>
      </c>
      <c r="C38" s="386" t="s">
        <v>1460</v>
      </c>
      <c r="D38" s="352">
        <v>2000</v>
      </c>
      <c r="E38" s="142"/>
      <c r="F38" s="404"/>
      <c r="G38" s="51">
        <v>3</v>
      </c>
      <c r="H38" s="51">
        <v>73351</v>
      </c>
      <c r="I38" s="690" t="s">
        <v>797</v>
      </c>
      <c r="J38" s="148">
        <v>950</v>
      </c>
      <c r="K38" s="142"/>
      <c r="L38" s="404"/>
      <c r="M38" s="51">
        <v>3</v>
      </c>
      <c r="N38" s="51">
        <v>75391</v>
      </c>
      <c r="O38" s="441" t="s">
        <v>796</v>
      </c>
      <c r="P38" s="148">
        <v>1850</v>
      </c>
      <c r="Q38" s="142"/>
      <c r="R38" s="404"/>
      <c r="S38" s="51">
        <v>3</v>
      </c>
      <c r="T38" s="51">
        <v>74463</v>
      </c>
      <c r="U38" s="386" t="s">
        <v>1460</v>
      </c>
      <c r="V38" s="148">
        <v>2700</v>
      </c>
      <c r="W38" s="142"/>
      <c r="X38" s="404"/>
      <c r="Y38" s="51">
        <v>3</v>
      </c>
      <c r="Z38" s="51"/>
      <c r="AA38" s="688"/>
      <c r="AB38" s="511"/>
      <c r="AC38" s="170"/>
      <c r="AD38" s="171"/>
      <c r="AE38" s="513"/>
    </row>
    <row r="39" spans="1:31" ht="16.2" customHeight="1">
      <c r="A39" s="51">
        <v>3</v>
      </c>
      <c r="B39" s="51"/>
      <c r="C39" s="386"/>
      <c r="D39" s="352"/>
      <c r="E39" s="165"/>
      <c r="F39" s="405"/>
      <c r="G39" s="51">
        <v>3</v>
      </c>
      <c r="H39" s="51"/>
      <c r="I39" s="512"/>
      <c r="J39" s="226"/>
      <c r="K39" s="165"/>
      <c r="L39" s="157"/>
      <c r="M39" s="51">
        <v>3</v>
      </c>
      <c r="N39" s="51">
        <v>75393</v>
      </c>
      <c r="O39" s="386" t="s">
        <v>798</v>
      </c>
      <c r="P39" s="352">
        <v>1000</v>
      </c>
      <c r="Q39" s="165"/>
      <c r="R39" s="405"/>
      <c r="S39" s="51">
        <v>3</v>
      </c>
      <c r="T39" s="51"/>
      <c r="U39" s="386"/>
      <c r="V39" s="493"/>
      <c r="W39" s="142"/>
      <c r="X39" s="405"/>
      <c r="Y39" s="51">
        <v>3</v>
      </c>
      <c r="Z39" s="51"/>
      <c r="AA39" s="667"/>
      <c r="AB39" s="543"/>
      <c r="AC39" s="172"/>
      <c r="AD39" s="173"/>
      <c r="AE39" s="516"/>
    </row>
    <row r="40" spans="1:31" ht="16.2" customHeight="1" thickBot="1">
      <c r="A40" s="51">
        <v>3</v>
      </c>
      <c r="B40" s="51"/>
      <c r="C40" s="694"/>
      <c r="D40" s="678"/>
      <c r="E40" s="277"/>
      <c r="F40" s="161"/>
      <c r="G40" s="51">
        <v>3</v>
      </c>
      <c r="H40" s="51"/>
      <c r="I40" s="694"/>
      <c r="J40" s="678"/>
      <c r="K40" s="277"/>
      <c r="L40" s="161"/>
      <c r="M40" s="51">
        <v>3</v>
      </c>
      <c r="N40" s="51"/>
      <c r="O40" s="694"/>
      <c r="P40" s="678"/>
      <c r="Q40" s="277"/>
      <c r="R40" s="278"/>
      <c r="S40" s="51">
        <v>3</v>
      </c>
      <c r="T40" s="51"/>
      <c r="U40" s="716"/>
      <c r="V40" s="749"/>
      <c r="W40" s="277"/>
      <c r="X40" s="405"/>
      <c r="Y40" s="51">
        <v>3</v>
      </c>
      <c r="Z40" s="51"/>
      <c r="AA40" s="695"/>
      <c r="AB40" s="718"/>
      <c r="AC40" s="279"/>
      <c r="AD40" s="280"/>
      <c r="AE40" s="516"/>
    </row>
    <row r="41" spans="1:31" ht="16.2" customHeight="1" thickTop="1">
      <c r="A41" s="51">
        <v>4</v>
      </c>
      <c r="B41" s="51"/>
      <c r="C41" s="523" t="s">
        <v>692</v>
      </c>
      <c r="D41" s="27">
        <f>SUM(D38:D40)</f>
        <v>2000</v>
      </c>
      <c r="E41" s="34"/>
      <c r="F41" s="75">
        <f>SUM(F38:F40)</f>
        <v>0</v>
      </c>
      <c r="G41" s="51">
        <v>4</v>
      </c>
      <c r="H41" s="51"/>
      <c r="I41" s="523" t="s">
        <v>692</v>
      </c>
      <c r="J41" s="27">
        <f>SUM(J38:J40)</f>
        <v>950</v>
      </c>
      <c r="K41" s="37"/>
      <c r="L41" s="75">
        <f>SUM(L38:L40)</f>
        <v>0</v>
      </c>
      <c r="M41" s="51">
        <v>4</v>
      </c>
      <c r="N41" s="51"/>
      <c r="O41" s="523" t="s">
        <v>692</v>
      </c>
      <c r="P41" s="27">
        <f>SUM(P38:P40)</f>
        <v>2850</v>
      </c>
      <c r="Q41" s="37"/>
      <c r="R41" s="75">
        <f>SUM(R38:R40)</f>
        <v>0</v>
      </c>
      <c r="S41" s="51">
        <v>4</v>
      </c>
      <c r="T41" s="51"/>
      <c r="U41" s="523" t="s">
        <v>692</v>
      </c>
      <c r="V41" s="27">
        <f>SUM(V38:V40)</f>
        <v>2700</v>
      </c>
      <c r="W41" s="28"/>
      <c r="X41" s="75">
        <f>SUM(X38:X40)</f>
        <v>0</v>
      </c>
      <c r="Y41" s="51">
        <v>4</v>
      </c>
      <c r="Z41" s="51"/>
      <c r="AA41" s="523" t="s">
        <v>692</v>
      </c>
      <c r="AB41" s="283">
        <f>SUM(AB38:AB40)</f>
        <v>0</v>
      </c>
      <c r="AC41" s="282"/>
      <c r="AD41" s="75">
        <f>SUM(AD38:AD40)</f>
        <v>0</v>
      </c>
      <c r="AE41" s="524">
        <f>D41+J41+P41+V41+AB41</f>
        <v>8500</v>
      </c>
    </row>
    <row r="42" spans="1:31" ht="16.2" customHeight="1">
      <c r="A42" s="51">
        <v>9</v>
      </c>
      <c r="B42" s="51"/>
      <c r="D42" s="1"/>
      <c r="G42" s="51">
        <v>9</v>
      </c>
      <c r="H42" s="51"/>
      <c r="J42" s="1"/>
      <c r="L42" s="233"/>
      <c r="M42" s="51">
        <v>9</v>
      </c>
      <c r="N42" s="51"/>
      <c r="O42" s="489"/>
      <c r="P42" s="489"/>
      <c r="Q42" s="224"/>
      <c r="R42" s="233"/>
      <c r="S42" s="51">
        <v>9</v>
      </c>
      <c r="T42" s="51"/>
      <c r="U42" s="489"/>
      <c r="V42" s="489"/>
      <c r="W42" s="224"/>
      <c r="X42" s="224"/>
      <c r="Y42" s="51">
        <v>9</v>
      </c>
      <c r="Z42" s="51"/>
      <c r="AA42" s="489"/>
      <c r="AB42" s="489"/>
      <c r="AC42" s="224"/>
      <c r="AD42" s="527" t="s">
        <v>692</v>
      </c>
      <c r="AE42" s="93">
        <f>A大阪狭山市折込部数+M大阪狭山市折込部数+S大阪狭山市折込部数+Y大阪狭山市折込部数+AD41</f>
        <v>0</v>
      </c>
    </row>
    <row r="43" spans="1:31" ht="16.2" customHeight="1">
      <c r="A43" s="51"/>
      <c r="B43" s="51"/>
      <c r="C43" s="489"/>
      <c r="D43" s="298"/>
      <c r="E43" s="217"/>
      <c r="F43" s="224"/>
      <c r="G43" s="51"/>
      <c r="H43" s="51"/>
      <c r="I43" s="489"/>
      <c r="J43" s="298"/>
      <c r="K43" s="224"/>
      <c r="L43" s="224"/>
      <c r="M43" s="51"/>
      <c r="N43" s="51"/>
      <c r="O43" s="489"/>
      <c r="P43" s="489"/>
      <c r="Q43" s="224"/>
      <c r="R43" s="224"/>
      <c r="S43" s="51"/>
      <c r="T43" s="51"/>
      <c r="U43" s="489"/>
      <c r="V43" s="489"/>
      <c r="W43" s="224"/>
      <c r="X43" s="224"/>
      <c r="Y43" s="51"/>
      <c r="Z43" s="51"/>
      <c r="AA43" s="489"/>
      <c r="AB43" s="489"/>
      <c r="AC43" s="224"/>
      <c r="AD43" s="224"/>
      <c r="AE43" s="489"/>
    </row>
    <row r="44" spans="1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298"/>
      <c r="E103" s="217"/>
      <c r="F103" s="224"/>
      <c r="G103" s="224"/>
      <c r="H103" s="224"/>
      <c r="I103" s="489"/>
      <c r="J103" s="298"/>
      <c r="K103" s="224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298"/>
      <c r="E104" s="217"/>
      <c r="F104" s="224"/>
      <c r="G104" s="224"/>
      <c r="H104" s="224"/>
      <c r="I104" s="489"/>
      <c r="J104" s="298"/>
      <c r="K104" s="224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298"/>
      <c r="E105" s="217"/>
      <c r="F105" s="224"/>
      <c r="G105" s="224"/>
      <c r="H105" s="224"/>
      <c r="I105" s="489"/>
      <c r="J105" s="298"/>
      <c r="K105" s="224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298"/>
      <c r="E106" s="217"/>
      <c r="F106" s="224"/>
      <c r="G106" s="224"/>
      <c r="H106" s="224"/>
      <c r="I106" s="489"/>
      <c r="J106" s="298"/>
      <c r="K106" s="224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298"/>
      <c r="E107" s="217"/>
      <c r="F107" s="224"/>
      <c r="G107" s="224"/>
      <c r="H107" s="224"/>
      <c r="I107" s="489"/>
      <c r="J107" s="298"/>
      <c r="K107" s="224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D108" s="1"/>
      <c r="J108" s="1"/>
    </row>
    <row r="109" spans="3:31" ht="16.2" customHeight="1">
      <c r="D109" s="1"/>
      <c r="J109" s="1"/>
    </row>
    <row r="110" spans="3:31" ht="16.2" customHeight="1">
      <c r="D110" s="1"/>
      <c r="J110" s="1"/>
    </row>
    <row r="111" spans="3:31" ht="16.2" customHeight="1">
      <c r="D111" s="1"/>
      <c r="J111" s="1"/>
    </row>
    <row r="112" spans="3:31" ht="16.2" customHeight="1">
      <c r="D112" s="1"/>
      <c r="J112" s="1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  <row r="520" spans="4:10" ht="16.2" customHeight="1">
      <c r="D520" s="1"/>
      <c r="J520" s="1"/>
    </row>
    <row r="521" spans="4:10" ht="16.2" customHeight="1">
      <c r="D521" s="1"/>
      <c r="J521" s="1"/>
    </row>
    <row r="522" spans="4:10" ht="16.2" customHeight="1">
      <c r="D522" s="1"/>
      <c r="J522" s="1"/>
    </row>
    <row r="523" spans="4:10" ht="16.2" customHeight="1">
      <c r="D523" s="1"/>
      <c r="J523" s="1"/>
    </row>
    <row r="524" spans="4:10" ht="16.2" customHeight="1">
      <c r="D524" s="1"/>
      <c r="J524" s="1"/>
    </row>
    <row r="525" spans="4:10" ht="16.2" customHeight="1">
      <c r="D525" s="1"/>
      <c r="J525" s="1"/>
    </row>
  </sheetData>
  <sheetProtection formatCells="0"/>
  <mergeCells count="14">
    <mergeCell ref="C2:F3"/>
    <mergeCell ref="D5:L6"/>
    <mergeCell ref="W5:X5"/>
    <mergeCell ref="P5:V6"/>
    <mergeCell ref="AA5:AC6"/>
    <mergeCell ref="D7:L8"/>
    <mergeCell ref="C10:F10"/>
    <mergeCell ref="I10:L10"/>
    <mergeCell ref="AA10:AD10"/>
    <mergeCell ref="W7:X7"/>
    <mergeCell ref="O10:R10"/>
    <mergeCell ref="U10:X10"/>
    <mergeCell ref="P7:Q8"/>
    <mergeCell ref="AA7:AE8"/>
  </mergeCells>
  <phoneticPr fontId="2"/>
  <conditionalFormatting sqref="F13:F14 L13 R12:R16 F21:F22 L21:L23 F31:F32 L31:L32 R31:R32 F38 L38 R38:R39 R23:R24 R21 X13:X16 X21:X23 X38:X40">
    <cfRule type="cellIs" dxfId="22" priority="2" operator="greaterThan">
      <formula>D12</formula>
    </cfRule>
  </conditionalFormatting>
  <conditionalFormatting sqref="X31:X32">
    <cfRule type="cellIs" dxfId="21" priority="28" operator="greaterThan">
      <formula>V31</formula>
    </cfRule>
  </conditionalFormatting>
  <hyperlinks>
    <hyperlink ref="C2:F3" location="提案表紙!A1" display="大阪府折込資料表" xr:uid="{00000000-0004-0000-18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&amp;L富田林市・河内長野市・南河内郡・大阪狭山市&amp;RP-21/34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6">
    <tabColor rgb="FFB6D2F5"/>
    <pageSetUpPr fitToPage="1"/>
  </sheetPr>
  <dimension ref="A1:AE524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style="1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style="1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P1"/>
      <c r="Q1"/>
      <c r="R1" s="51" t="s">
        <v>301</v>
      </c>
      <c r="S1" s="338" t="s">
        <v>1369</v>
      </c>
      <c r="T1" s="51" t="s">
        <v>1370</v>
      </c>
      <c r="U1" s="18"/>
      <c r="V1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1343</v>
      </c>
      <c r="D2" s="835"/>
      <c r="E2" s="835"/>
      <c r="F2" s="835"/>
      <c r="G2" s="460"/>
      <c r="H2" s="460"/>
      <c r="J2"/>
      <c r="K2"/>
      <c r="L2"/>
      <c r="M2"/>
      <c r="N2"/>
      <c r="P2"/>
      <c r="Q2"/>
      <c r="R2"/>
      <c r="S2" s="51"/>
      <c r="T2"/>
      <c r="V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P3"/>
      <c r="Q3"/>
      <c r="R3"/>
      <c r="S3" s="51"/>
      <c r="T3"/>
      <c r="V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782</v>
      </c>
      <c r="L4"/>
      <c r="M4"/>
      <c r="N4"/>
      <c r="P4"/>
      <c r="Q4"/>
      <c r="R4"/>
      <c r="S4" s="51"/>
      <c r="T4"/>
      <c r="V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783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784</v>
      </c>
      <c r="P7" s="827">
        <f>提案表紙!G9</f>
        <v>0</v>
      </c>
      <c r="Q7" s="828"/>
      <c r="R7" s="7" t="s">
        <v>676</v>
      </c>
      <c r="S7"/>
      <c r="T7"/>
      <c r="U7" s="410">
        <f>堺区折込部数+中区折込部数</f>
        <v>0</v>
      </c>
      <c r="V7" s="299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270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320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320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1435</v>
      </c>
      <c r="C12" s="46" t="s">
        <v>799</v>
      </c>
      <c r="D12"/>
      <c r="G12" s="51">
        <v>2</v>
      </c>
      <c r="H12" s="488" t="s">
        <v>1435</v>
      </c>
      <c r="J12"/>
      <c r="K12" s="15"/>
      <c r="M12" s="51">
        <v>2</v>
      </c>
      <c r="N12" s="488" t="s">
        <v>1435</v>
      </c>
      <c r="Q12" s="15"/>
      <c r="R12"/>
      <c r="S12" s="51">
        <v>2</v>
      </c>
      <c r="T12" s="488" t="s">
        <v>1435</v>
      </c>
      <c r="W12" s="15"/>
      <c r="X12"/>
      <c r="Y12" s="51">
        <v>2</v>
      </c>
      <c r="Z12" s="488" t="s">
        <v>1435</v>
      </c>
      <c r="AB12" s="15"/>
      <c r="AC12"/>
      <c r="AD12"/>
    </row>
    <row r="13" spans="1:31" ht="16.2" customHeight="1">
      <c r="A13" s="51">
        <v>3</v>
      </c>
      <c r="B13" s="51">
        <v>72361</v>
      </c>
      <c r="C13" s="441" t="s">
        <v>800</v>
      </c>
      <c r="D13" s="148">
        <v>1150</v>
      </c>
      <c r="E13" s="155"/>
      <c r="F13" s="404"/>
      <c r="G13" s="51">
        <v>3</v>
      </c>
      <c r="H13" s="51">
        <v>73353</v>
      </c>
      <c r="I13" s="441" t="s">
        <v>802</v>
      </c>
      <c r="J13" s="148">
        <v>1050</v>
      </c>
      <c r="K13" s="155"/>
      <c r="L13" s="404"/>
      <c r="M13" s="51">
        <v>3</v>
      </c>
      <c r="N13" s="51">
        <v>75395</v>
      </c>
      <c r="O13" s="441" t="s">
        <v>800</v>
      </c>
      <c r="P13" s="148">
        <v>900</v>
      </c>
      <c r="Q13" s="130"/>
      <c r="R13" s="404"/>
      <c r="S13" s="51">
        <v>3</v>
      </c>
      <c r="T13" s="51">
        <v>74469</v>
      </c>
      <c r="U13" s="690" t="s">
        <v>819</v>
      </c>
      <c r="V13" s="148">
        <v>2100</v>
      </c>
      <c r="W13" s="155"/>
      <c r="X13" s="404"/>
      <c r="Y13" s="51">
        <v>3</v>
      </c>
      <c r="Z13" s="51"/>
      <c r="AA13" s="688"/>
      <c r="AB13" s="511"/>
      <c r="AC13" s="130"/>
      <c r="AD13" s="541"/>
      <c r="AE13" s="513"/>
    </row>
    <row r="14" spans="1:31" ht="16.2" customHeight="1">
      <c r="A14" s="51">
        <v>3</v>
      </c>
      <c r="B14" s="51">
        <v>72363</v>
      </c>
      <c r="C14" s="386" t="s">
        <v>1366</v>
      </c>
      <c r="D14" s="143">
        <v>1500</v>
      </c>
      <c r="E14" s="142"/>
      <c r="F14" s="405"/>
      <c r="G14" s="51">
        <v>3</v>
      </c>
      <c r="H14" s="51">
        <v>73355</v>
      </c>
      <c r="I14" s="386" t="s">
        <v>820</v>
      </c>
      <c r="J14" s="143">
        <v>1250</v>
      </c>
      <c r="K14" s="142"/>
      <c r="L14" s="405"/>
      <c r="M14" s="51">
        <v>3</v>
      </c>
      <c r="N14" s="51">
        <v>75397</v>
      </c>
      <c r="O14" s="698" t="s">
        <v>802</v>
      </c>
      <c r="P14" s="143">
        <v>800</v>
      </c>
      <c r="Q14" s="168"/>
      <c r="R14" s="405"/>
      <c r="S14" s="51">
        <v>3</v>
      </c>
      <c r="T14" s="51">
        <v>74471</v>
      </c>
      <c r="U14" s="386" t="s">
        <v>801</v>
      </c>
      <c r="V14" s="143">
        <v>1400</v>
      </c>
      <c r="W14" s="168"/>
      <c r="X14" s="405"/>
      <c r="Y14" s="51">
        <v>3</v>
      </c>
      <c r="Z14" s="51"/>
      <c r="AA14" s="561"/>
      <c r="AB14" s="515"/>
      <c r="AC14" s="168"/>
      <c r="AD14" s="550"/>
      <c r="AE14" s="516"/>
    </row>
    <row r="15" spans="1:31" ht="16.2" customHeight="1">
      <c r="A15" s="51">
        <v>3</v>
      </c>
      <c r="B15" s="51">
        <v>72367</v>
      </c>
      <c r="C15" s="386" t="s">
        <v>801</v>
      </c>
      <c r="D15" s="143">
        <v>1250</v>
      </c>
      <c r="E15" s="142"/>
      <c r="F15" s="405"/>
      <c r="G15" s="51">
        <v>3</v>
      </c>
      <c r="H15" s="51">
        <v>73357</v>
      </c>
      <c r="I15" s="386" t="s">
        <v>800</v>
      </c>
      <c r="J15" s="143">
        <v>1550</v>
      </c>
      <c r="K15" s="142"/>
      <c r="L15" s="405"/>
      <c r="M15" s="51">
        <v>3</v>
      </c>
      <c r="N15" s="51">
        <v>75399</v>
      </c>
      <c r="O15" s="386" t="s">
        <v>803</v>
      </c>
      <c r="P15" s="143">
        <v>700</v>
      </c>
      <c r="Q15" s="168"/>
      <c r="R15" s="405"/>
      <c r="S15" s="51">
        <v>3</v>
      </c>
      <c r="T15" s="51">
        <v>74473</v>
      </c>
      <c r="U15" s="698" t="s">
        <v>820</v>
      </c>
      <c r="V15" s="143">
        <v>1550</v>
      </c>
      <c r="W15" s="168"/>
      <c r="X15" s="405"/>
      <c r="Y15" s="51">
        <v>3</v>
      </c>
      <c r="Z15" s="51"/>
      <c r="AA15" s="561"/>
      <c r="AB15" s="515"/>
      <c r="AC15" s="168"/>
      <c r="AD15" s="550"/>
      <c r="AE15" s="516"/>
    </row>
    <row r="16" spans="1:31" ht="16.2" customHeight="1">
      <c r="A16" s="51">
        <v>3</v>
      </c>
      <c r="B16" s="51"/>
      <c r="C16" s="386"/>
      <c r="D16" s="143"/>
      <c r="E16" s="142"/>
      <c r="F16" s="405"/>
      <c r="G16" s="51">
        <v>3</v>
      </c>
      <c r="H16" s="51"/>
      <c r="I16" s="698"/>
      <c r="J16" s="353"/>
      <c r="K16" s="168"/>
      <c r="L16" s="405"/>
      <c r="M16" s="51">
        <v>3</v>
      </c>
      <c r="N16" s="51">
        <v>75401</v>
      </c>
      <c r="O16" s="386" t="s">
        <v>513</v>
      </c>
      <c r="P16" s="143">
        <v>1650</v>
      </c>
      <c r="Q16" s="168"/>
      <c r="R16" s="405"/>
      <c r="S16" s="51">
        <v>3</v>
      </c>
      <c r="T16" s="51">
        <v>74475</v>
      </c>
      <c r="U16" s="386" t="s">
        <v>821</v>
      </c>
      <c r="V16" s="143">
        <v>1650</v>
      </c>
      <c r="W16" s="168"/>
      <c r="X16" s="405"/>
      <c r="Y16" s="51">
        <v>3</v>
      </c>
      <c r="Z16" s="51"/>
      <c r="AA16" s="561"/>
      <c r="AB16" s="515"/>
      <c r="AC16" s="168"/>
      <c r="AD16" s="550"/>
      <c r="AE16" s="516"/>
    </row>
    <row r="17" spans="1:31" ht="16.2" customHeight="1">
      <c r="A17" s="51">
        <v>3</v>
      </c>
      <c r="B17" s="51"/>
      <c r="C17" s="386"/>
      <c r="D17" s="143"/>
      <c r="E17" s="142"/>
      <c r="F17" s="132"/>
      <c r="G17" s="51">
        <v>3</v>
      </c>
      <c r="H17" s="51"/>
      <c r="I17" s="520"/>
      <c r="J17" s="208"/>
      <c r="K17" s="168"/>
      <c r="L17" s="132"/>
      <c r="M17" s="51">
        <v>3</v>
      </c>
      <c r="N17" s="51">
        <v>75403</v>
      </c>
      <c r="O17" s="386" t="s">
        <v>818</v>
      </c>
      <c r="P17" s="353">
        <v>1950</v>
      </c>
      <c r="Q17" s="168"/>
      <c r="R17" s="405"/>
      <c r="S17" s="51">
        <v>3</v>
      </c>
      <c r="T17" s="51">
        <v>74477</v>
      </c>
      <c r="U17" s="386" t="s">
        <v>1234</v>
      </c>
      <c r="V17" s="143">
        <v>950</v>
      </c>
      <c r="W17" s="168"/>
      <c r="X17" s="405"/>
      <c r="Y17" s="51">
        <v>3</v>
      </c>
      <c r="Z17" s="51"/>
      <c r="AA17" s="561"/>
      <c r="AB17" s="515"/>
      <c r="AC17" s="168"/>
      <c r="AD17" s="550"/>
      <c r="AE17" s="516"/>
    </row>
    <row r="18" spans="1:31" ht="16.2" customHeight="1">
      <c r="A18" s="51">
        <v>3</v>
      </c>
      <c r="B18" s="51"/>
      <c r="C18" s="512"/>
      <c r="D18" s="139"/>
      <c r="E18" s="142"/>
      <c r="F18" s="132"/>
      <c r="G18" s="51">
        <v>3</v>
      </c>
      <c r="H18" s="51"/>
      <c r="I18" s="512"/>
      <c r="J18" s="139"/>
      <c r="K18" s="168"/>
      <c r="L18" s="132"/>
      <c r="M18" s="51">
        <v>3</v>
      </c>
      <c r="N18" s="51"/>
      <c r="O18" s="691"/>
      <c r="P18" s="446"/>
      <c r="Q18" s="168"/>
      <c r="R18" s="405"/>
      <c r="S18" s="51">
        <v>3</v>
      </c>
      <c r="T18" s="51">
        <v>74479</v>
      </c>
      <c r="U18" s="386" t="s">
        <v>818</v>
      </c>
      <c r="V18" s="143">
        <v>2000</v>
      </c>
      <c r="W18" s="168"/>
      <c r="X18" s="405"/>
      <c r="Y18" s="51">
        <v>3</v>
      </c>
      <c r="Z18" s="51"/>
      <c r="AA18" s="561"/>
      <c r="AB18" s="515"/>
      <c r="AC18" s="168"/>
      <c r="AD18" s="550"/>
      <c r="AE18" s="516"/>
    </row>
    <row r="19" spans="1:31" ht="16.2" customHeight="1">
      <c r="A19" s="51">
        <v>3</v>
      </c>
      <c r="B19" s="51"/>
      <c r="C19" s="520"/>
      <c r="D19" s="208"/>
      <c r="E19" s="138"/>
      <c r="F19" s="133"/>
      <c r="G19" s="51">
        <v>3</v>
      </c>
      <c r="H19" s="51"/>
      <c r="I19" s="520"/>
      <c r="J19" s="208"/>
      <c r="K19" s="169"/>
      <c r="L19" s="133"/>
      <c r="M19" s="51">
        <v>3</v>
      </c>
      <c r="N19" s="51"/>
      <c r="O19" s="512"/>
      <c r="P19" s="298"/>
      <c r="Q19" s="169"/>
      <c r="R19" s="164"/>
      <c r="S19" s="51">
        <v>3</v>
      </c>
      <c r="T19" s="51"/>
      <c r="U19" s="698"/>
      <c r="V19" s="353"/>
      <c r="W19" s="169"/>
      <c r="X19" s="400"/>
      <c r="Y19" s="51">
        <v>3</v>
      </c>
      <c r="Z19" s="51"/>
      <c r="AA19" s="699"/>
      <c r="AB19" s="519"/>
      <c r="AC19" s="169"/>
      <c r="AD19" s="562"/>
      <c r="AE19" s="516"/>
    </row>
    <row r="20" spans="1:31" ht="16.2" customHeight="1" thickBot="1">
      <c r="A20" s="51">
        <v>3</v>
      </c>
      <c r="B20" s="51"/>
      <c r="C20" s="520"/>
      <c r="D20" s="208"/>
      <c r="E20" s="167"/>
      <c r="F20" s="133"/>
      <c r="G20" s="51">
        <v>3</v>
      </c>
      <c r="H20" s="51"/>
      <c r="I20" s="520"/>
      <c r="J20" s="208"/>
      <c r="K20" s="169"/>
      <c r="L20" s="133"/>
      <c r="M20" s="51">
        <v>3</v>
      </c>
      <c r="N20" s="51"/>
      <c r="O20" s="512"/>
      <c r="P20" s="208"/>
      <c r="Q20" s="169"/>
      <c r="R20" s="164"/>
      <c r="S20" s="51">
        <v>3</v>
      </c>
      <c r="T20" s="673"/>
      <c r="U20" s="675"/>
      <c r="V20" s="208"/>
      <c r="W20" s="169"/>
      <c r="X20" s="133"/>
      <c r="Y20" s="51">
        <v>3</v>
      </c>
      <c r="Z20" s="51"/>
      <c r="AA20" s="699"/>
      <c r="AB20" s="519"/>
      <c r="AC20" s="169"/>
      <c r="AD20" s="562"/>
      <c r="AE20" s="516"/>
    </row>
    <row r="21" spans="1:31" ht="16.2" customHeight="1" thickTop="1">
      <c r="A21" s="51">
        <v>4</v>
      </c>
      <c r="B21" s="51"/>
      <c r="C21" s="523" t="s">
        <v>692</v>
      </c>
      <c r="D21" s="27">
        <f>SUM(D13:D20)</f>
        <v>3900</v>
      </c>
      <c r="E21" s="34"/>
      <c r="F21" s="75">
        <f>SUM(F13:F20)</f>
        <v>0</v>
      </c>
      <c r="G21" s="51">
        <v>4</v>
      </c>
      <c r="H21" s="51"/>
      <c r="I21" s="523" t="s">
        <v>692</v>
      </c>
      <c r="J21" s="27">
        <f>SUM(J13:J20)</f>
        <v>3850</v>
      </c>
      <c r="K21" s="37"/>
      <c r="L21" s="75">
        <f>SUM(L13:L20)</f>
        <v>0</v>
      </c>
      <c r="M21" s="51">
        <v>4</v>
      </c>
      <c r="N21" s="51"/>
      <c r="O21" s="523" t="s">
        <v>692</v>
      </c>
      <c r="P21" s="27">
        <f>SUM(P13:P20)</f>
        <v>6000</v>
      </c>
      <c r="Q21" s="37"/>
      <c r="R21" s="75">
        <f>SUM(R13:R20)</f>
        <v>0</v>
      </c>
      <c r="S21" s="51">
        <v>4</v>
      </c>
      <c r="T21" s="51"/>
      <c r="U21" s="523" t="s">
        <v>692</v>
      </c>
      <c r="V21" s="27">
        <f>SUM(V13:V20)</f>
        <v>9650</v>
      </c>
      <c r="W21" s="37"/>
      <c r="X21" s="75">
        <f>SUM(X13:X20)</f>
        <v>0</v>
      </c>
      <c r="Y21" s="51">
        <v>4</v>
      </c>
      <c r="Z21" s="51"/>
      <c r="AA21" s="523" t="s">
        <v>692</v>
      </c>
      <c r="AB21" s="522">
        <f>SUM(AB13:AB20)</f>
        <v>0</v>
      </c>
      <c r="AC21" s="37"/>
      <c r="AD21" s="689">
        <f>SUM(AD13:AD20)</f>
        <v>0</v>
      </c>
      <c r="AE21" s="524">
        <f>D21+J21+P21+V21+AB21</f>
        <v>23400</v>
      </c>
    </row>
    <row r="22" spans="1:31" ht="16.2" customHeight="1">
      <c r="A22" s="51"/>
      <c r="B22" s="51"/>
      <c r="C22" s="526"/>
      <c r="D22" s="210"/>
      <c r="E22" s="228"/>
      <c r="F22" s="229"/>
      <c r="G22" s="51"/>
      <c r="H22" s="51"/>
      <c r="I22" s="526"/>
      <c r="J22" s="210"/>
      <c r="K22" s="230"/>
      <c r="L22" s="231"/>
      <c r="M22" s="51"/>
      <c r="N22" s="51"/>
      <c r="O22" s="526"/>
      <c r="P22" s="210"/>
      <c r="Q22" s="230"/>
      <c r="R22" s="229"/>
      <c r="S22" s="51"/>
      <c r="T22" s="51"/>
      <c r="U22" s="526"/>
      <c r="V22" s="210"/>
      <c r="W22" s="230"/>
      <c r="X22" s="229"/>
      <c r="Y22" s="51"/>
      <c r="Z22" s="51"/>
      <c r="AA22" s="526"/>
      <c r="AB22" s="526"/>
      <c r="AC22" s="36"/>
      <c r="AD22" s="527" t="s">
        <v>692</v>
      </c>
      <c r="AE22" s="93">
        <f>A堺区折込部数+M堺区折込部数+S堺区折込部数+Y堺区折込部数+AD21</f>
        <v>0</v>
      </c>
    </row>
    <row r="23" spans="1:31" ht="16.2" customHeight="1">
      <c r="A23" s="51">
        <v>2</v>
      </c>
      <c r="B23" s="488" t="s">
        <v>1436</v>
      </c>
      <c r="C23" s="46" t="s">
        <v>822</v>
      </c>
      <c r="D23" s="12"/>
      <c r="E23" s="32"/>
      <c r="F23" s="223"/>
      <c r="G23" s="51">
        <v>2</v>
      </c>
      <c r="H23" s="488" t="s">
        <v>1436</v>
      </c>
      <c r="I23" s="464"/>
      <c r="J23" s="211"/>
      <c r="K23" s="232"/>
      <c r="L23" s="223"/>
      <c r="M23" s="51">
        <v>2</v>
      </c>
      <c r="N23" s="488" t="s">
        <v>1436</v>
      </c>
      <c r="O23" s="489"/>
      <c r="P23" s="211"/>
      <c r="Q23" s="232"/>
      <c r="R23" s="223"/>
      <c r="S23" s="51">
        <v>2</v>
      </c>
      <c r="T23" s="488" t="s">
        <v>1436</v>
      </c>
      <c r="U23" s="464"/>
      <c r="V23" s="211"/>
      <c r="W23" s="232"/>
      <c r="X23" s="223"/>
      <c r="Y23" s="51">
        <v>2</v>
      </c>
      <c r="Z23" s="488" t="s">
        <v>1436</v>
      </c>
      <c r="AA23" s="464"/>
      <c r="AB23" s="464"/>
      <c r="AC23" s="35"/>
      <c r="AD23" s="16"/>
      <c r="AE23" s="11"/>
    </row>
    <row r="24" spans="1:31" ht="16.2" customHeight="1">
      <c r="A24" s="51">
        <v>3</v>
      </c>
      <c r="B24" s="51">
        <v>72371</v>
      </c>
      <c r="C24" s="690" t="s">
        <v>823</v>
      </c>
      <c r="D24" s="267">
        <v>750</v>
      </c>
      <c r="E24" s="142"/>
      <c r="F24" s="404"/>
      <c r="G24" s="51">
        <v>3</v>
      </c>
      <c r="H24" s="51">
        <v>73359</v>
      </c>
      <c r="I24" s="690" t="s">
        <v>685</v>
      </c>
      <c r="J24" s="148">
        <v>3200</v>
      </c>
      <c r="K24" s="142"/>
      <c r="L24" s="404"/>
      <c r="M24" s="51">
        <v>3</v>
      </c>
      <c r="N24" s="51">
        <v>75407</v>
      </c>
      <c r="O24" s="690" t="s">
        <v>984</v>
      </c>
      <c r="P24" s="148">
        <v>1700</v>
      </c>
      <c r="Q24" s="142"/>
      <c r="R24" s="404"/>
      <c r="S24" s="51">
        <v>3</v>
      </c>
      <c r="T24" s="51">
        <v>74481</v>
      </c>
      <c r="U24" s="386" t="s">
        <v>824</v>
      </c>
      <c r="V24" s="148">
        <v>4100</v>
      </c>
      <c r="W24" s="142"/>
      <c r="X24" s="404"/>
      <c r="Y24" s="51">
        <v>3</v>
      </c>
      <c r="Z24" s="51"/>
      <c r="AA24" s="688"/>
      <c r="AB24" s="511"/>
      <c r="AC24" s="170"/>
      <c r="AD24" s="171"/>
      <c r="AE24" s="513"/>
    </row>
    <row r="25" spans="1:31" ht="16.2" customHeight="1">
      <c r="A25" s="51">
        <v>3</v>
      </c>
      <c r="B25" s="51">
        <v>72373</v>
      </c>
      <c r="C25" s="386" t="s">
        <v>824</v>
      </c>
      <c r="D25" s="352">
        <v>3600</v>
      </c>
      <c r="E25" s="165"/>
      <c r="F25" s="405"/>
      <c r="G25" s="51">
        <v>3</v>
      </c>
      <c r="H25" s="51">
        <v>73361</v>
      </c>
      <c r="I25" s="386" t="s">
        <v>1300</v>
      </c>
      <c r="J25" s="352">
        <v>1350</v>
      </c>
      <c r="K25" s="165"/>
      <c r="L25" s="405"/>
      <c r="M25" s="51">
        <v>3</v>
      </c>
      <c r="N25" s="51">
        <v>75411</v>
      </c>
      <c r="O25" s="386" t="s">
        <v>823</v>
      </c>
      <c r="P25" s="352">
        <v>4000</v>
      </c>
      <c r="Q25" s="165"/>
      <c r="R25" s="405"/>
      <c r="S25" s="51">
        <v>3</v>
      </c>
      <c r="T25" s="51">
        <v>74483</v>
      </c>
      <c r="U25" s="691" t="s">
        <v>825</v>
      </c>
      <c r="V25" s="352">
        <v>1000</v>
      </c>
      <c r="W25" s="142"/>
      <c r="X25" s="405"/>
      <c r="Y25" s="51">
        <v>3</v>
      </c>
      <c r="Z25" s="51"/>
      <c r="AA25" s="667"/>
      <c r="AB25" s="543"/>
      <c r="AC25" s="172"/>
      <c r="AD25" s="173"/>
      <c r="AE25" s="516"/>
    </row>
    <row r="26" spans="1:31" ht="16.2" customHeight="1">
      <c r="A26" s="51">
        <v>3</v>
      </c>
      <c r="B26" s="51"/>
      <c r="C26" s="691"/>
      <c r="D26" s="352"/>
      <c r="E26" s="165"/>
      <c r="F26" s="405"/>
      <c r="G26" s="51">
        <v>3</v>
      </c>
      <c r="H26" s="51"/>
      <c r="I26" s="691"/>
      <c r="J26" s="352"/>
      <c r="K26" s="165"/>
      <c r="L26" s="405"/>
      <c r="M26" s="51">
        <v>3</v>
      </c>
      <c r="N26" s="51"/>
      <c r="O26" s="386"/>
      <c r="P26" s="352"/>
      <c r="Q26" s="165"/>
      <c r="R26" s="405"/>
      <c r="S26" s="51">
        <v>3</v>
      </c>
      <c r="T26" s="51">
        <v>74485</v>
      </c>
      <c r="U26" s="386" t="s">
        <v>826</v>
      </c>
      <c r="V26" s="352">
        <v>1000</v>
      </c>
      <c r="W26" s="142"/>
      <c r="X26" s="405"/>
      <c r="Y26" s="51">
        <v>3</v>
      </c>
      <c r="Z26" s="51"/>
      <c r="AA26" s="667"/>
      <c r="AB26" s="543"/>
      <c r="AC26" s="172"/>
      <c r="AD26" s="173"/>
      <c r="AE26" s="516"/>
    </row>
    <row r="27" spans="1:31" ht="16.2" customHeight="1">
      <c r="A27" s="51">
        <v>3</v>
      </c>
      <c r="B27" s="51"/>
      <c r="C27" s="692"/>
      <c r="D27" s="226"/>
      <c r="E27" s="165"/>
      <c r="F27" s="157"/>
      <c r="G27" s="51">
        <v>3</v>
      </c>
      <c r="H27" s="51"/>
      <c r="I27" s="692"/>
      <c r="J27" s="226"/>
      <c r="K27" s="165"/>
      <c r="L27" s="157"/>
      <c r="M27" s="51">
        <v>3</v>
      </c>
      <c r="N27" s="51"/>
      <c r="O27" s="692"/>
      <c r="P27" s="226"/>
      <c r="Q27" s="165"/>
      <c r="R27" s="157"/>
      <c r="S27" s="51">
        <v>3</v>
      </c>
      <c r="T27" s="51">
        <v>74487</v>
      </c>
      <c r="U27" s="691" t="s">
        <v>1579</v>
      </c>
      <c r="V27" s="352">
        <v>1400</v>
      </c>
      <c r="W27" s="142"/>
      <c r="X27" s="405"/>
      <c r="Y27" s="51">
        <v>3</v>
      </c>
      <c r="Z27" s="51"/>
      <c r="AA27" s="667"/>
      <c r="AB27" s="543"/>
      <c r="AC27" s="172"/>
      <c r="AD27" s="173"/>
      <c r="AE27" s="516"/>
    </row>
    <row r="28" spans="1:31" ht="16.2" customHeight="1">
      <c r="A28" s="51">
        <v>3</v>
      </c>
      <c r="B28" s="51"/>
      <c r="C28" s="692"/>
      <c r="D28" s="226"/>
      <c r="E28" s="165"/>
      <c r="F28" s="157"/>
      <c r="G28" s="51">
        <v>3</v>
      </c>
      <c r="H28" s="51"/>
      <c r="I28" s="692"/>
      <c r="J28" s="226"/>
      <c r="K28" s="165"/>
      <c r="L28" s="157"/>
      <c r="M28" s="51">
        <v>3</v>
      </c>
      <c r="N28" s="51"/>
      <c r="O28" s="692"/>
      <c r="P28" s="226"/>
      <c r="Q28" s="165"/>
      <c r="R28" s="260"/>
      <c r="S28" s="51">
        <v>3</v>
      </c>
      <c r="T28" s="51"/>
      <c r="U28" s="692"/>
      <c r="V28" s="226"/>
      <c r="W28" s="142"/>
      <c r="X28" s="157"/>
      <c r="Y28" s="51">
        <v>3</v>
      </c>
      <c r="Z28" s="51"/>
      <c r="AA28" s="667"/>
      <c r="AB28" s="543"/>
      <c r="AC28" s="172"/>
      <c r="AD28" s="173"/>
      <c r="AE28" s="516"/>
    </row>
    <row r="29" spans="1:31" ht="16.2" customHeight="1">
      <c r="A29" s="51">
        <v>3</v>
      </c>
      <c r="B29" s="51"/>
      <c r="C29" s="692"/>
      <c r="D29" s="226"/>
      <c r="E29" s="165"/>
      <c r="F29" s="157"/>
      <c r="G29" s="51">
        <v>3</v>
      </c>
      <c r="H29" s="51"/>
      <c r="I29" s="692"/>
      <c r="J29" s="226"/>
      <c r="K29" s="165"/>
      <c r="L29" s="157"/>
      <c r="M29" s="51">
        <v>3</v>
      </c>
      <c r="N29" s="51"/>
      <c r="O29" s="692"/>
      <c r="P29" s="226"/>
      <c r="Q29" s="165"/>
      <c r="R29" s="260"/>
      <c r="S29" s="51">
        <v>3</v>
      </c>
      <c r="T29" s="51"/>
      <c r="U29" s="692"/>
      <c r="V29" s="226"/>
      <c r="W29" s="142"/>
      <c r="X29" s="157"/>
      <c r="Y29" s="51">
        <v>3</v>
      </c>
      <c r="Z29" s="51"/>
      <c r="AA29" s="667"/>
      <c r="AB29" s="543"/>
      <c r="AC29" s="172"/>
      <c r="AD29" s="173"/>
      <c r="AE29" s="516"/>
    </row>
    <row r="30" spans="1:31" ht="16.2" customHeight="1" thickBot="1">
      <c r="A30" s="51">
        <v>3</v>
      </c>
      <c r="B30" s="51"/>
      <c r="C30" s="520"/>
      <c r="D30" s="208"/>
      <c r="E30" s="167"/>
      <c r="F30" s="133"/>
      <c r="G30" s="51">
        <v>3</v>
      </c>
      <c r="H30" s="51"/>
      <c r="I30" s="699"/>
      <c r="J30" s="208"/>
      <c r="K30" s="169"/>
      <c r="L30" s="133"/>
      <c r="M30" s="51">
        <v>3</v>
      </c>
      <c r="N30" s="51"/>
      <c r="O30" s="699"/>
      <c r="P30" s="208"/>
      <c r="Q30" s="169"/>
      <c r="R30" s="164"/>
      <c r="S30" s="51">
        <v>3</v>
      </c>
      <c r="T30" s="51"/>
      <c r="U30" s="520"/>
      <c r="V30" s="208"/>
      <c r="W30" s="138"/>
      <c r="X30" s="133"/>
      <c r="Y30" s="51">
        <v>3</v>
      </c>
      <c r="Z30" s="51"/>
      <c r="AA30" s="699"/>
      <c r="AB30" s="519"/>
      <c r="AC30" s="169"/>
      <c r="AD30" s="175"/>
      <c r="AE30" s="516"/>
    </row>
    <row r="31" spans="1:31" ht="16.2" customHeight="1" thickTop="1">
      <c r="A31" s="51">
        <v>4</v>
      </c>
      <c r="B31" s="51"/>
      <c r="C31" s="523" t="s">
        <v>692</v>
      </c>
      <c r="D31" s="27">
        <f>SUM(D24:D30)</f>
        <v>4350</v>
      </c>
      <c r="E31" s="34"/>
      <c r="F31" s="75">
        <f>SUM(F24:F30)</f>
        <v>0</v>
      </c>
      <c r="G31" s="51">
        <v>4</v>
      </c>
      <c r="H31" s="51"/>
      <c r="I31" s="523" t="s">
        <v>692</v>
      </c>
      <c r="J31" s="27">
        <f>SUM(J24:J30)</f>
        <v>4550</v>
      </c>
      <c r="K31" s="37"/>
      <c r="L31" s="75">
        <f>SUM(L24:L30)</f>
        <v>0</v>
      </c>
      <c r="M31" s="51">
        <v>4</v>
      </c>
      <c r="N31" s="51"/>
      <c r="O31" s="523" t="s">
        <v>692</v>
      </c>
      <c r="P31" s="27">
        <f>SUM(P24:P30)</f>
        <v>5700</v>
      </c>
      <c r="Q31" s="37"/>
      <c r="R31" s="75">
        <f>SUM(R24:R30)</f>
        <v>0</v>
      </c>
      <c r="S31" s="51">
        <v>4</v>
      </c>
      <c r="T31" s="51"/>
      <c r="U31" s="523" t="s">
        <v>692</v>
      </c>
      <c r="V31" s="27">
        <f>SUM(V24:V30)</f>
        <v>7500</v>
      </c>
      <c r="W31" s="28"/>
      <c r="X31" s="75">
        <f>SUM(X24:X30)</f>
        <v>0</v>
      </c>
      <c r="Y31" s="51">
        <v>4</v>
      </c>
      <c r="Z31" s="51"/>
      <c r="AA31" s="523" t="s">
        <v>692</v>
      </c>
      <c r="AB31" s="283">
        <f>SUM(AB24:AB30)</f>
        <v>0</v>
      </c>
      <c r="AC31" s="282"/>
      <c r="AD31" s="75">
        <f>SUM(AD24:AD30)</f>
        <v>0</v>
      </c>
      <c r="AE31" s="524">
        <f>D31+J31+P31+V31+AB31</f>
        <v>22100</v>
      </c>
    </row>
    <row r="32" spans="1:31" ht="16.2" customHeight="1">
      <c r="A32" s="51">
        <v>9</v>
      </c>
      <c r="B32" s="51"/>
      <c r="D32" s="1"/>
      <c r="G32" s="51">
        <v>9</v>
      </c>
      <c r="H32" s="51"/>
      <c r="J32" s="1"/>
      <c r="L32" s="233"/>
      <c r="M32" s="51">
        <v>9</v>
      </c>
      <c r="N32" s="51"/>
      <c r="O32" s="489"/>
      <c r="P32" s="298"/>
      <c r="Q32" s="224"/>
      <c r="R32" s="233"/>
      <c r="S32" s="51">
        <v>9</v>
      </c>
      <c r="T32" s="51"/>
      <c r="U32" s="489"/>
      <c r="V32" s="298"/>
      <c r="W32" s="224"/>
      <c r="X32" s="224"/>
      <c r="Y32" s="51">
        <v>9</v>
      </c>
      <c r="Z32" s="51"/>
      <c r="AA32" s="489"/>
      <c r="AB32" s="489"/>
      <c r="AC32" s="224"/>
      <c r="AD32" s="527" t="s">
        <v>692</v>
      </c>
      <c r="AE32" s="93">
        <f>A中区折込部数+M中区折込部数+S中区折込部数+Y中区折込部数+AD31</f>
        <v>0</v>
      </c>
    </row>
    <row r="33" spans="3:31" ht="16.2" customHeight="1">
      <c r="C33" s="489"/>
      <c r="D33" s="298"/>
      <c r="E33" s="217"/>
      <c r="F33" s="224"/>
      <c r="G33" s="224"/>
      <c r="H33" s="224"/>
      <c r="I33" s="489"/>
      <c r="J33" s="298"/>
      <c r="K33" s="224"/>
      <c r="L33" s="224"/>
      <c r="M33" s="224"/>
      <c r="N33" s="224"/>
      <c r="O33" s="489"/>
      <c r="P33" s="298"/>
      <c r="Q33" s="224"/>
      <c r="R33" s="224"/>
      <c r="S33" s="224"/>
      <c r="T33" s="224"/>
      <c r="U33" s="489"/>
      <c r="V33" s="298"/>
      <c r="W33" s="224"/>
      <c r="X33" s="224"/>
      <c r="Y33" s="224"/>
      <c r="Z33" s="224"/>
      <c r="AA33" s="489"/>
      <c r="AB33" s="489"/>
      <c r="AC33" s="224"/>
      <c r="AD33" s="224"/>
      <c r="AE33" s="489"/>
    </row>
    <row r="34" spans="3:31" ht="16.2" customHeight="1">
      <c r="C34" s="489"/>
      <c r="D34" s="298"/>
      <c r="E34" s="217"/>
      <c r="F34" s="224"/>
      <c r="G34" s="224"/>
      <c r="H34" s="224"/>
      <c r="I34" s="489"/>
      <c r="J34" s="298"/>
      <c r="K34" s="224"/>
      <c r="L34" s="224"/>
      <c r="M34" s="224"/>
      <c r="N34" s="224"/>
      <c r="O34" s="489"/>
      <c r="P34" s="298"/>
      <c r="Q34" s="224"/>
      <c r="R34" s="224"/>
      <c r="S34" s="224"/>
      <c r="T34" s="224"/>
      <c r="U34" s="489"/>
      <c r="V34" s="298"/>
      <c r="W34" s="224"/>
      <c r="X34" s="224"/>
      <c r="Y34" s="224"/>
      <c r="Z34" s="224"/>
      <c r="AA34" s="489"/>
      <c r="AB34" s="489"/>
      <c r="AC34" s="224"/>
      <c r="AD34" s="224"/>
      <c r="AE34" s="489"/>
    </row>
    <row r="35" spans="3:31" ht="16.2" customHeight="1">
      <c r="C35" s="489"/>
      <c r="D35" s="298"/>
      <c r="E35" s="217"/>
      <c r="F35" s="224"/>
      <c r="G35" s="224"/>
      <c r="H35" s="224"/>
      <c r="I35" s="489"/>
      <c r="J35" s="298"/>
      <c r="K35" s="224"/>
      <c r="L35" s="224"/>
      <c r="M35" s="224"/>
      <c r="N35" s="224"/>
      <c r="O35" s="489"/>
      <c r="P35" s="298"/>
      <c r="Q35" s="224"/>
      <c r="R35" s="224"/>
      <c r="S35" s="224"/>
      <c r="T35" s="224"/>
      <c r="U35" s="489"/>
      <c r="V35" s="298"/>
      <c r="W35" s="224"/>
      <c r="X35" s="224"/>
      <c r="Y35" s="224"/>
      <c r="Z35" s="224"/>
      <c r="AA35" s="489"/>
      <c r="AB35" s="489"/>
      <c r="AC35" s="224"/>
      <c r="AD35" s="224"/>
      <c r="AE35" s="489"/>
    </row>
    <row r="36" spans="3:31" ht="16.2" customHeight="1">
      <c r="C36" s="489"/>
      <c r="D36" s="298"/>
      <c r="E36" s="217"/>
      <c r="F36" s="224"/>
      <c r="G36" s="224"/>
      <c r="H36" s="224"/>
      <c r="I36" s="489"/>
      <c r="J36" s="298"/>
      <c r="K36" s="224"/>
      <c r="L36" s="224"/>
      <c r="M36" s="224"/>
      <c r="N36" s="224"/>
      <c r="O36" s="489"/>
      <c r="P36" s="298"/>
      <c r="Q36" s="224"/>
      <c r="R36" s="224"/>
      <c r="S36" s="224"/>
      <c r="T36" s="224"/>
      <c r="U36" s="489"/>
      <c r="V36" s="298"/>
      <c r="W36" s="224"/>
      <c r="X36" s="224"/>
      <c r="Y36" s="224"/>
      <c r="Z36" s="224"/>
      <c r="AA36" s="489"/>
      <c r="AB36" s="489"/>
      <c r="AC36" s="224"/>
      <c r="AD36" s="224"/>
      <c r="AE36" s="489"/>
    </row>
    <row r="37" spans="3:31" ht="16.2" customHeight="1">
      <c r="C37" s="489"/>
      <c r="D37" s="298"/>
      <c r="E37" s="217"/>
      <c r="F37" s="224"/>
      <c r="G37" s="224"/>
      <c r="H37" s="224"/>
      <c r="I37" s="489"/>
      <c r="J37" s="298"/>
      <c r="K37" s="224"/>
      <c r="L37" s="224"/>
      <c r="M37" s="224"/>
      <c r="N37" s="224"/>
      <c r="O37" s="489"/>
      <c r="P37" s="298"/>
      <c r="Q37" s="224"/>
      <c r="R37" s="224"/>
      <c r="S37" s="224"/>
      <c r="T37" s="224"/>
      <c r="U37" s="489"/>
      <c r="V37" s="298"/>
      <c r="W37" s="224"/>
      <c r="X37" s="224"/>
      <c r="Y37" s="224"/>
      <c r="Z37" s="224"/>
      <c r="AA37" s="489"/>
      <c r="AB37" s="489"/>
      <c r="AC37" s="224"/>
      <c r="AD37" s="224"/>
      <c r="AE37" s="489"/>
    </row>
    <row r="38" spans="3:31" ht="16.2" customHeight="1">
      <c r="C38" s="489"/>
      <c r="D38" s="298"/>
      <c r="E38" s="217"/>
      <c r="F38" s="224"/>
      <c r="G38" s="224"/>
      <c r="H38" s="224"/>
      <c r="I38" s="489"/>
      <c r="J38" s="298"/>
      <c r="K38" s="224"/>
      <c r="L38" s="224"/>
      <c r="M38" s="224"/>
      <c r="N38" s="224"/>
      <c r="O38" s="489"/>
      <c r="P38" s="298"/>
      <c r="Q38" s="224"/>
      <c r="R38" s="224"/>
      <c r="S38" s="224"/>
      <c r="T38" s="224"/>
      <c r="U38" s="489"/>
      <c r="V38" s="298"/>
      <c r="W38" s="224"/>
      <c r="X38" s="224"/>
      <c r="Y38" s="224"/>
      <c r="Z38" s="224"/>
      <c r="AA38" s="489"/>
      <c r="AB38" s="489"/>
      <c r="AC38" s="224"/>
      <c r="AD38" s="224"/>
      <c r="AE38" s="489"/>
    </row>
    <row r="39" spans="3:31" ht="16.2" customHeight="1">
      <c r="C39" s="489"/>
      <c r="D39" s="298"/>
      <c r="E39" s="217"/>
      <c r="F39" s="224"/>
      <c r="G39" s="224"/>
      <c r="H39" s="224"/>
      <c r="I39" s="489"/>
      <c r="J39" s="298"/>
      <c r="K39" s="224"/>
      <c r="L39" s="224"/>
      <c r="M39" s="224"/>
      <c r="N39" s="224"/>
      <c r="O39" s="489"/>
      <c r="P39" s="298"/>
      <c r="Q39" s="224"/>
      <c r="R39" s="224"/>
      <c r="S39" s="224"/>
      <c r="T39" s="224"/>
      <c r="U39" s="489"/>
      <c r="V39" s="298"/>
      <c r="W39" s="224"/>
      <c r="X39" s="224"/>
      <c r="Y39" s="224"/>
      <c r="Z39" s="224"/>
      <c r="AA39" s="489"/>
      <c r="AB39" s="489"/>
      <c r="AC39" s="224"/>
      <c r="AD39" s="224"/>
      <c r="AE39" s="489"/>
    </row>
    <row r="40" spans="3:31" ht="16.2" customHeight="1">
      <c r="C40" s="489"/>
      <c r="D40" s="298"/>
      <c r="E40" s="217"/>
      <c r="F40" s="224"/>
      <c r="G40" s="224"/>
      <c r="H40" s="224"/>
      <c r="I40" s="489"/>
      <c r="J40" s="298"/>
      <c r="K40" s="224"/>
      <c r="L40" s="224"/>
      <c r="M40" s="224"/>
      <c r="N40" s="224"/>
      <c r="O40" s="489"/>
      <c r="P40" s="298"/>
      <c r="Q40" s="224"/>
      <c r="R40" s="224"/>
      <c r="S40" s="224"/>
      <c r="T40" s="224"/>
      <c r="U40" s="489"/>
      <c r="V40" s="298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3:31" ht="16.2" customHeight="1">
      <c r="C41" s="489"/>
      <c r="D41" s="298"/>
      <c r="E41" s="217"/>
      <c r="F41" s="224"/>
      <c r="G41" s="224"/>
      <c r="H41" s="224"/>
      <c r="I41" s="489"/>
      <c r="J41" s="298"/>
      <c r="K41" s="224"/>
      <c r="L41" s="224"/>
      <c r="M41" s="224"/>
      <c r="N41" s="224"/>
      <c r="O41" s="489"/>
      <c r="P41" s="298"/>
      <c r="Q41" s="224"/>
      <c r="R41" s="224"/>
      <c r="S41" s="224"/>
      <c r="T41" s="224"/>
      <c r="U41" s="489"/>
      <c r="V41" s="298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3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298"/>
      <c r="Q42" s="224"/>
      <c r="R42" s="224"/>
      <c r="S42" s="224"/>
      <c r="T42" s="224"/>
      <c r="U42" s="489"/>
      <c r="V42" s="298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3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298"/>
      <c r="Q43" s="224"/>
      <c r="R43" s="224"/>
      <c r="S43" s="224"/>
      <c r="T43" s="224"/>
      <c r="U43" s="489"/>
      <c r="V43" s="298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3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298"/>
      <c r="Q44" s="224"/>
      <c r="R44" s="224"/>
      <c r="S44" s="224"/>
      <c r="T44" s="224"/>
      <c r="U44" s="489"/>
      <c r="V44" s="298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3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298"/>
      <c r="Q45" s="224"/>
      <c r="R45" s="224"/>
      <c r="S45" s="224"/>
      <c r="T45" s="224"/>
      <c r="U45" s="489"/>
      <c r="V45" s="298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3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298"/>
      <c r="Q46" s="224"/>
      <c r="R46" s="224"/>
      <c r="S46" s="224"/>
      <c r="T46" s="224"/>
      <c r="U46" s="489"/>
      <c r="V46" s="298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3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298"/>
      <c r="Q47" s="224"/>
      <c r="R47" s="224"/>
      <c r="S47" s="224"/>
      <c r="T47" s="224"/>
      <c r="U47" s="489"/>
      <c r="V47" s="298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3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298"/>
      <c r="Q48" s="224"/>
      <c r="R48" s="224"/>
      <c r="S48" s="224"/>
      <c r="T48" s="224"/>
      <c r="U48" s="489"/>
      <c r="V48" s="298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298"/>
      <c r="Q49" s="224"/>
      <c r="R49" s="224"/>
      <c r="S49" s="224"/>
      <c r="T49" s="224"/>
      <c r="U49" s="489"/>
      <c r="V49" s="298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298"/>
      <c r="Q50" s="224"/>
      <c r="R50" s="224"/>
      <c r="S50" s="224"/>
      <c r="T50" s="224"/>
      <c r="U50" s="489"/>
      <c r="V50" s="298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298"/>
      <c r="Q51" s="224"/>
      <c r="R51" s="224"/>
      <c r="S51" s="224"/>
      <c r="T51" s="224"/>
      <c r="U51" s="489"/>
      <c r="V51" s="298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298"/>
      <c r="Q52" s="224"/>
      <c r="R52" s="224"/>
      <c r="S52" s="224"/>
      <c r="T52" s="224"/>
      <c r="U52" s="489"/>
      <c r="V52" s="298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298"/>
      <c r="Q53" s="224"/>
      <c r="R53" s="224"/>
      <c r="S53" s="224"/>
      <c r="T53" s="224"/>
      <c r="U53" s="489"/>
      <c r="V53" s="298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298"/>
      <c r="Q54" s="224"/>
      <c r="R54" s="224"/>
      <c r="S54" s="224"/>
      <c r="T54" s="224"/>
      <c r="U54" s="489"/>
      <c r="V54" s="298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298"/>
      <c r="Q55" s="224"/>
      <c r="R55" s="224"/>
      <c r="S55" s="224"/>
      <c r="T55" s="224"/>
      <c r="U55" s="489"/>
      <c r="V55" s="298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298"/>
      <c r="Q56" s="224"/>
      <c r="R56" s="224"/>
      <c r="S56" s="224"/>
      <c r="T56" s="224"/>
      <c r="U56" s="489"/>
      <c r="V56" s="298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298"/>
      <c r="Q57" s="224"/>
      <c r="R57" s="224"/>
      <c r="S57" s="224"/>
      <c r="T57" s="224"/>
      <c r="U57" s="489"/>
      <c r="V57" s="298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298"/>
      <c r="Q58" s="224"/>
      <c r="R58" s="224"/>
      <c r="S58" s="224"/>
      <c r="T58" s="224"/>
      <c r="U58" s="489"/>
      <c r="V58" s="298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298"/>
      <c r="Q59" s="224"/>
      <c r="R59" s="224"/>
      <c r="S59" s="224"/>
      <c r="T59" s="224"/>
      <c r="U59" s="489"/>
      <c r="V59" s="298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298"/>
      <c r="Q60" s="224"/>
      <c r="R60" s="224"/>
      <c r="S60" s="224"/>
      <c r="T60" s="224"/>
      <c r="U60" s="489"/>
      <c r="V60" s="298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298"/>
      <c r="Q61" s="224"/>
      <c r="R61" s="224"/>
      <c r="S61" s="224"/>
      <c r="T61" s="224"/>
      <c r="U61" s="489"/>
      <c r="V61" s="298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298"/>
      <c r="Q62" s="224"/>
      <c r="R62" s="224"/>
      <c r="S62" s="224"/>
      <c r="T62" s="224"/>
      <c r="U62" s="489"/>
      <c r="V62" s="298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298"/>
      <c r="Q63" s="224"/>
      <c r="R63" s="224"/>
      <c r="S63" s="224"/>
      <c r="T63" s="224"/>
      <c r="U63" s="489"/>
      <c r="V63" s="298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298"/>
      <c r="Q64" s="224"/>
      <c r="R64" s="224"/>
      <c r="S64" s="224"/>
      <c r="T64" s="224"/>
      <c r="U64" s="489"/>
      <c r="V64" s="298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298"/>
      <c r="Q65" s="224"/>
      <c r="R65" s="224"/>
      <c r="S65" s="224"/>
      <c r="T65" s="224"/>
      <c r="U65" s="489"/>
      <c r="V65" s="298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298"/>
      <c r="Q66" s="224"/>
      <c r="R66" s="224"/>
      <c r="S66" s="224"/>
      <c r="T66" s="224"/>
      <c r="U66" s="489"/>
      <c r="V66" s="298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298"/>
      <c r="Q67" s="224"/>
      <c r="R67" s="224"/>
      <c r="S67" s="224"/>
      <c r="T67" s="224"/>
      <c r="U67" s="489"/>
      <c r="V67" s="298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298"/>
      <c r="Q68" s="224"/>
      <c r="R68" s="224"/>
      <c r="S68" s="224"/>
      <c r="T68" s="224"/>
      <c r="U68" s="489"/>
      <c r="V68" s="298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298"/>
      <c r="Q69" s="224"/>
      <c r="R69" s="224"/>
      <c r="S69" s="224"/>
      <c r="T69" s="224"/>
      <c r="U69" s="489"/>
      <c r="V69" s="298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298"/>
      <c r="Q70" s="224"/>
      <c r="R70" s="224"/>
      <c r="S70" s="224"/>
      <c r="T70" s="224"/>
      <c r="U70" s="489"/>
      <c r="V70" s="298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298"/>
      <c r="Q71" s="224"/>
      <c r="R71" s="224"/>
      <c r="S71" s="224"/>
      <c r="T71" s="224"/>
      <c r="U71" s="489"/>
      <c r="V71" s="298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298"/>
      <c r="Q72" s="224"/>
      <c r="R72" s="224"/>
      <c r="S72" s="224"/>
      <c r="T72" s="224"/>
      <c r="U72" s="489"/>
      <c r="V72" s="298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298"/>
      <c r="Q73" s="224"/>
      <c r="R73" s="224"/>
      <c r="S73" s="224"/>
      <c r="T73" s="224"/>
      <c r="U73" s="489"/>
      <c r="V73" s="298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298"/>
      <c r="Q74" s="224"/>
      <c r="R74" s="224"/>
      <c r="S74" s="224"/>
      <c r="T74" s="224"/>
      <c r="U74" s="489"/>
      <c r="V74" s="298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298"/>
      <c r="Q75" s="224"/>
      <c r="R75" s="224"/>
      <c r="S75" s="224"/>
      <c r="T75" s="224"/>
      <c r="U75" s="489"/>
      <c r="V75" s="298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298"/>
      <c r="Q76" s="224"/>
      <c r="R76" s="224"/>
      <c r="S76" s="224"/>
      <c r="T76" s="224"/>
      <c r="U76" s="489"/>
      <c r="V76" s="298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298"/>
      <c r="Q77" s="224"/>
      <c r="R77" s="224"/>
      <c r="S77" s="224"/>
      <c r="T77" s="224"/>
      <c r="U77" s="489"/>
      <c r="V77" s="298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298"/>
      <c r="Q78" s="224"/>
      <c r="R78" s="224"/>
      <c r="S78" s="224"/>
      <c r="T78" s="224"/>
      <c r="U78" s="489"/>
      <c r="V78" s="298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298"/>
      <c r="Q79" s="224"/>
      <c r="R79" s="224"/>
      <c r="S79" s="224"/>
      <c r="T79" s="224"/>
      <c r="U79" s="489"/>
      <c r="V79" s="298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298"/>
      <c r="Q80" s="224"/>
      <c r="R80" s="224"/>
      <c r="S80" s="224"/>
      <c r="T80" s="224"/>
      <c r="U80" s="489"/>
      <c r="V80" s="298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298"/>
      <c r="Q81" s="224"/>
      <c r="R81" s="224"/>
      <c r="S81" s="224"/>
      <c r="T81" s="224"/>
      <c r="U81" s="489"/>
      <c r="V81" s="298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298"/>
      <c r="Q82" s="224"/>
      <c r="R82" s="224"/>
      <c r="S82" s="224"/>
      <c r="T82" s="224"/>
      <c r="U82" s="489"/>
      <c r="V82" s="298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298"/>
      <c r="Q83" s="224"/>
      <c r="R83" s="224"/>
      <c r="S83" s="224"/>
      <c r="T83" s="224"/>
      <c r="U83" s="489"/>
      <c r="V83" s="298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298"/>
      <c r="Q84" s="224"/>
      <c r="R84" s="224"/>
      <c r="S84" s="224"/>
      <c r="T84" s="224"/>
      <c r="U84" s="489"/>
      <c r="V84" s="298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298"/>
      <c r="Q85" s="224"/>
      <c r="R85" s="224"/>
      <c r="S85" s="224"/>
      <c r="T85" s="224"/>
      <c r="U85" s="489"/>
      <c r="V85" s="298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298"/>
      <c r="Q86" s="224"/>
      <c r="R86" s="224"/>
      <c r="S86" s="224"/>
      <c r="T86" s="224"/>
      <c r="U86" s="489"/>
      <c r="V86" s="298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298"/>
      <c r="Q87" s="224"/>
      <c r="R87" s="224"/>
      <c r="S87" s="224"/>
      <c r="T87" s="224"/>
      <c r="U87" s="489"/>
      <c r="V87" s="298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298"/>
      <c r="Q88" s="224"/>
      <c r="R88" s="224"/>
      <c r="S88" s="224"/>
      <c r="T88" s="224"/>
      <c r="U88" s="489"/>
      <c r="V88" s="298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298"/>
      <c r="Q89" s="224"/>
      <c r="R89" s="224"/>
      <c r="S89" s="224"/>
      <c r="T89" s="224"/>
      <c r="U89" s="489"/>
      <c r="V89" s="298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298"/>
      <c r="Q90" s="224"/>
      <c r="R90" s="224"/>
      <c r="S90" s="224"/>
      <c r="T90" s="224"/>
      <c r="U90" s="489"/>
      <c r="V90" s="298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298"/>
      <c r="Q91" s="224"/>
      <c r="R91" s="224"/>
      <c r="S91" s="224"/>
      <c r="T91" s="224"/>
      <c r="U91" s="489"/>
      <c r="V91" s="298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298"/>
      <c r="Q92" s="224"/>
      <c r="R92" s="224"/>
      <c r="S92" s="224"/>
      <c r="T92" s="224"/>
      <c r="U92" s="489"/>
      <c r="V92" s="298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298"/>
      <c r="Q93" s="224"/>
      <c r="R93" s="224"/>
      <c r="S93" s="224"/>
      <c r="T93" s="224"/>
      <c r="U93" s="489"/>
      <c r="V93" s="298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298"/>
      <c r="Q94" s="224"/>
      <c r="R94" s="224"/>
      <c r="S94" s="224"/>
      <c r="T94" s="224"/>
      <c r="U94" s="489"/>
      <c r="V94" s="298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298"/>
      <c r="Q95" s="224"/>
      <c r="R95" s="224"/>
      <c r="S95" s="224"/>
      <c r="T95" s="224"/>
      <c r="U95" s="489"/>
      <c r="V95" s="298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298"/>
      <c r="Q96" s="224"/>
      <c r="R96" s="224"/>
      <c r="S96" s="224"/>
      <c r="T96" s="224"/>
      <c r="U96" s="489"/>
      <c r="V96" s="298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298"/>
      <c r="Q97" s="224"/>
      <c r="R97" s="224"/>
      <c r="S97" s="224"/>
      <c r="T97" s="224"/>
      <c r="U97" s="489"/>
      <c r="V97" s="298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298"/>
      <c r="Q98" s="224"/>
      <c r="R98" s="224"/>
      <c r="S98" s="224"/>
      <c r="T98" s="224"/>
      <c r="U98" s="489"/>
      <c r="V98" s="298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298"/>
      <c r="Q99" s="224"/>
      <c r="R99" s="224"/>
      <c r="S99" s="224"/>
      <c r="T99" s="224"/>
      <c r="U99" s="489"/>
      <c r="V99" s="298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298"/>
      <c r="Q100" s="224"/>
      <c r="R100" s="224"/>
      <c r="S100" s="224"/>
      <c r="T100" s="224"/>
      <c r="U100" s="489"/>
      <c r="V100" s="298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298"/>
      <c r="Q101" s="224"/>
      <c r="R101" s="224"/>
      <c r="S101" s="224"/>
      <c r="T101" s="224"/>
      <c r="U101" s="489"/>
      <c r="V101" s="298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298"/>
      <c r="Q102" s="224"/>
      <c r="R102" s="224"/>
      <c r="S102" s="224"/>
      <c r="T102" s="224"/>
      <c r="U102" s="489"/>
      <c r="V102" s="298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298"/>
      <c r="E103" s="217"/>
      <c r="F103" s="224"/>
      <c r="G103" s="224"/>
      <c r="H103" s="224"/>
      <c r="I103" s="489"/>
      <c r="J103" s="298"/>
      <c r="K103" s="224"/>
      <c r="L103" s="224"/>
      <c r="M103" s="224"/>
      <c r="N103" s="224"/>
      <c r="O103" s="489"/>
      <c r="P103" s="298"/>
      <c r="Q103" s="224"/>
      <c r="R103" s="224"/>
      <c r="S103" s="224"/>
      <c r="T103" s="224"/>
      <c r="U103" s="489"/>
      <c r="V103" s="298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298"/>
      <c r="E104" s="217"/>
      <c r="F104" s="224"/>
      <c r="G104" s="224"/>
      <c r="H104" s="224"/>
      <c r="I104" s="489"/>
      <c r="J104" s="298"/>
      <c r="K104" s="224"/>
      <c r="L104" s="224"/>
      <c r="M104" s="224"/>
      <c r="N104" s="224"/>
      <c r="O104" s="489"/>
      <c r="P104" s="298"/>
      <c r="Q104" s="224"/>
      <c r="R104" s="224"/>
      <c r="S104" s="224"/>
      <c r="T104" s="224"/>
      <c r="U104" s="489"/>
      <c r="V104" s="298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298"/>
      <c r="E105" s="217"/>
      <c r="F105" s="224"/>
      <c r="G105" s="224"/>
      <c r="H105" s="224"/>
      <c r="I105" s="489"/>
      <c r="J105" s="298"/>
      <c r="K105" s="224"/>
      <c r="L105" s="224"/>
      <c r="M105" s="224"/>
      <c r="N105" s="224"/>
      <c r="O105" s="489"/>
      <c r="P105" s="298"/>
      <c r="Q105" s="224"/>
      <c r="R105" s="224"/>
      <c r="S105" s="224"/>
      <c r="T105" s="224"/>
      <c r="U105" s="489"/>
      <c r="V105" s="298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298"/>
      <c r="E106" s="217"/>
      <c r="F106" s="224"/>
      <c r="G106" s="224"/>
      <c r="H106" s="224"/>
      <c r="I106" s="489"/>
      <c r="J106" s="298"/>
      <c r="K106" s="224"/>
      <c r="L106" s="224"/>
      <c r="M106" s="224"/>
      <c r="N106" s="224"/>
      <c r="O106" s="489"/>
      <c r="P106" s="298"/>
      <c r="Q106" s="224"/>
      <c r="R106" s="224"/>
      <c r="S106" s="224"/>
      <c r="T106" s="224"/>
      <c r="U106" s="489"/>
      <c r="V106" s="298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298"/>
      <c r="E107" s="217"/>
      <c r="F107" s="224"/>
      <c r="G107" s="224"/>
      <c r="H107" s="224"/>
      <c r="I107" s="489"/>
      <c r="J107" s="298"/>
      <c r="K107" s="224"/>
      <c r="L107" s="224"/>
      <c r="M107" s="224"/>
      <c r="N107" s="224"/>
      <c r="O107" s="489"/>
      <c r="P107" s="298"/>
      <c r="Q107" s="224"/>
      <c r="R107" s="224"/>
      <c r="S107" s="224"/>
      <c r="T107" s="224"/>
      <c r="U107" s="489"/>
      <c r="V107" s="298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298"/>
      <c r="E108" s="217"/>
      <c r="F108" s="224"/>
      <c r="G108" s="224"/>
      <c r="H108" s="224"/>
      <c r="I108" s="489"/>
      <c r="J108" s="298"/>
      <c r="K108" s="224"/>
      <c r="L108" s="224"/>
      <c r="M108" s="224"/>
      <c r="N108" s="224"/>
      <c r="O108" s="489"/>
      <c r="P108" s="298"/>
      <c r="Q108" s="224"/>
      <c r="R108" s="224"/>
      <c r="S108" s="224"/>
      <c r="T108" s="224"/>
      <c r="U108" s="489"/>
      <c r="V108" s="298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D109" s="1"/>
      <c r="J109" s="1"/>
    </row>
    <row r="110" spans="3:31" ht="16.2" customHeight="1">
      <c r="D110" s="1"/>
      <c r="J110" s="1"/>
    </row>
    <row r="111" spans="3:31" ht="16.2" customHeight="1">
      <c r="D111" s="1"/>
      <c r="J111" s="1"/>
    </row>
    <row r="112" spans="3:31" ht="16.2" customHeight="1">
      <c r="D112" s="1"/>
      <c r="J112" s="1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  <row r="520" spans="4:10" ht="16.2" customHeight="1">
      <c r="D520" s="1"/>
      <c r="J520" s="1"/>
    </row>
    <row r="521" spans="4:10" ht="16.2" customHeight="1">
      <c r="D521" s="1"/>
      <c r="J521" s="1"/>
    </row>
    <row r="522" spans="4:10" ht="16.2" customHeight="1">
      <c r="D522" s="1"/>
      <c r="J522" s="1"/>
    </row>
    <row r="523" spans="4:10" ht="16.2" customHeight="1">
      <c r="D523" s="1"/>
      <c r="J523" s="1"/>
    </row>
    <row r="524" spans="4:10" ht="16.2" customHeight="1">
      <c r="D524" s="1"/>
      <c r="J524" s="1"/>
    </row>
  </sheetData>
  <sheetProtection formatCells="0"/>
  <mergeCells count="14">
    <mergeCell ref="C2:F3"/>
    <mergeCell ref="D5:L6"/>
    <mergeCell ref="W5:X5"/>
    <mergeCell ref="P5:V6"/>
    <mergeCell ref="AA5:AC6"/>
    <mergeCell ref="D7:L8"/>
    <mergeCell ref="C10:F10"/>
    <mergeCell ref="I10:L10"/>
    <mergeCell ref="AA10:AD10"/>
    <mergeCell ref="W7:X7"/>
    <mergeCell ref="O10:R10"/>
    <mergeCell ref="U10:X10"/>
    <mergeCell ref="P7:Q8"/>
    <mergeCell ref="AA7:AE8"/>
  </mergeCells>
  <phoneticPr fontId="2"/>
  <conditionalFormatting sqref="F13:F16 L13:L16 R13:R18 X13:X18 X24:X27 R24:R26 L24:L26 F24:F26">
    <cfRule type="cellIs" dxfId="20" priority="1" operator="greaterThan">
      <formula>D13</formula>
    </cfRule>
  </conditionalFormatting>
  <hyperlinks>
    <hyperlink ref="C2:F3" location="提案表紙!A1" display="大阪府折込資料表" xr:uid="{00000000-0004-0000-19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&amp;L堺区･中区
&amp;RP-22/34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7">
    <tabColor rgb="FFB6D2F5"/>
    <pageSetUpPr fitToPage="1"/>
  </sheetPr>
  <dimension ref="A1:AE524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827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/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829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830</v>
      </c>
      <c r="P7" s="827">
        <f>提案表紙!G9</f>
        <v>0</v>
      </c>
      <c r="Q7" s="828"/>
      <c r="R7" s="7" t="s">
        <v>676</v>
      </c>
      <c r="S7"/>
      <c r="T7"/>
      <c r="U7" s="410">
        <f>東区折込部数+西区折込部数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1437</v>
      </c>
      <c r="C12" s="46" t="s">
        <v>831</v>
      </c>
      <c r="D12"/>
      <c r="G12" s="51">
        <v>2</v>
      </c>
      <c r="H12" s="488" t="s">
        <v>1437</v>
      </c>
      <c r="J12"/>
      <c r="K12" s="15"/>
      <c r="M12" s="51">
        <v>2</v>
      </c>
      <c r="N12" s="488" t="s">
        <v>1437</v>
      </c>
      <c r="Q12" s="15"/>
      <c r="R12"/>
      <c r="S12" s="51">
        <v>2</v>
      </c>
      <c r="T12" s="488" t="s">
        <v>1437</v>
      </c>
      <c r="W12" s="15"/>
      <c r="X12"/>
      <c r="Y12" s="51">
        <v>2</v>
      </c>
      <c r="Z12" s="488" t="s">
        <v>1437</v>
      </c>
      <c r="AB12" s="15"/>
      <c r="AC12"/>
      <c r="AD12"/>
    </row>
    <row r="13" spans="1:31" ht="16.2" customHeight="1">
      <c r="A13" s="51">
        <v>3</v>
      </c>
      <c r="B13" s="51">
        <v>72375</v>
      </c>
      <c r="C13" s="441" t="s">
        <v>833</v>
      </c>
      <c r="D13" s="148">
        <v>2300</v>
      </c>
      <c r="E13" s="155"/>
      <c r="F13" s="404"/>
      <c r="G13" s="51">
        <v>3</v>
      </c>
      <c r="H13" s="51">
        <v>73363</v>
      </c>
      <c r="I13" s="441" t="s">
        <v>833</v>
      </c>
      <c r="J13" s="148">
        <v>2550</v>
      </c>
      <c r="K13" s="155"/>
      <c r="L13" s="404"/>
      <c r="M13" s="51">
        <v>3</v>
      </c>
      <c r="N13" s="51">
        <v>75413</v>
      </c>
      <c r="O13" s="441" t="s">
        <v>834</v>
      </c>
      <c r="P13" s="148">
        <v>1750</v>
      </c>
      <c r="Q13" s="130"/>
      <c r="R13" s="404"/>
      <c r="S13" s="51">
        <v>3</v>
      </c>
      <c r="T13" s="51">
        <v>74489</v>
      </c>
      <c r="U13" s="690" t="s">
        <v>46</v>
      </c>
      <c r="V13" s="148">
        <v>2600</v>
      </c>
      <c r="W13" s="155"/>
      <c r="X13" s="404"/>
      <c r="Y13" s="51">
        <v>3</v>
      </c>
      <c r="Z13" s="51"/>
      <c r="AA13" s="688"/>
      <c r="AB13" s="511"/>
      <c r="AC13" s="130"/>
      <c r="AD13" s="541"/>
      <c r="AE13" s="513"/>
    </row>
    <row r="14" spans="1:31" ht="16.2" customHeight="1">
      <c r="A14" s="51">
        <v>3</v>
      </c>
      <c r="B14" s="51">
        <v>72377</v>
      </c>
      <c r="C14" s="386" t="s">
        <v>834</v>
      </c>
      <c r="D14" s="143">
        <v>2000</v>
      </c>
      <c r="E14" s="142"/>
      <c r="F14" s="405"/>
      <c r="G14" s="51">
        <v>3</v>
      </c>
      <c r="H14" s="51">
        <v>73365</v>
      </c>
      <c r="I14" s="386" t="s">
        <v>834</v>
      </c>
      <c r="J14" s="143">
        <v>3900</v>
      </c>
      <c r="K14" s="142"/>
      <c r="L14" s="405"/>
      <c r="M14" s="51">
        <v>3</v>
      </c>
      <c r="N14" s="51">
        <v>75415</v>
      </c>
      <c r="O14" s="698" t="s">
        <v>1072</v>
      </c>
      <c r="P14" s="143">
        <v>1250</v>
      </c>
      <c r="Q14" s="168"/>
      <c r="R14" s="405"/>
      <c r="S14" s="51">
        <v>3</v>
      </c>
      <c r="T14" s="51">
        <v>74493</v>
      </c>
      <c r="U14" s="698" t="s">
        <v>835</v>
      </c>
      <c r="V14" s="143">
        <v>950</v>
      </c>
      <c r="W14" s="168"/>
      <c r="X14" s="405"/>
      <c r="Y14" s="51">
        <v>3</v>
      </c>
      <c r="Z14" s="51"/>
      <c r="AA14" s="561"/>
      <c r="AB14" s="515"/>
      <c r="AC14" s="168"/>
      <c r="AD14" s="550"/>
      <c r="AE14" s="516"/>
    </row>
    <row r="15" spans="1:31" ht="16.2" customHeight="1">
      <c r="A15" s="51">
        <v>3</v>
      </c>
      <c r="B15" s="51"/>
      <c r="C15" s="512"/>
      <c r="D15" s="139"/>
      <c r="E15" s="142"/>
      <c r="F15" s="132"/>
      <c r="G15" s="51">
        <v>3</v>
      </c>
      <c r="H15" s="51"/>
      <c r="I15" s="512"/>
      <c r="J15" s="139"/>
      <c r="K15" s="142"/>
      <c r="L15" s="132"/>
      <c r="M15" s="51">
        <v>3</v>
      </c>
      <c r="N15" s="51"/>
      <c r="O15" s="386"/>
      <c r="P15" s="446"/>
      <c r="Q15" s="168"/>
      <c r="R15" s="405"/>
      <c r="S15" s="51">
        <v>3</v>
      </c>
      <c r="T15" s="51"/>
      <c r="U15" s="386"/>
      <c r="V15" s="446"/>
      <c r="W15" s="168"/>
      <c r="X15" s="405"/>
      <c r="Y15" s="51">
        <v>3</v>
      </c>
      <c r="Z15" s="51"/>
      <c r="AA15" s="561"/>
      <c r="AB15" s="515"/>
      <c r="AC15" s="168"/>
      <c r="AD15" s="550"/>
      <c r="AE15" s="516"/>
    </row>
    <row r="16" spans="1:31" ht="16.2" customHeight="1">
      <c r="A16" s="51">
        <v>3</v>
      </c>
      <c r="B16" s="51"/>
      <c r="C16" s="512"/>
      <c r="D16" s="139"/>
      <c r="E16" s="142"/>
      <c r="F16" s="132"/>
      <c r="G16" s="51">
        <v>3</v>
      </c>
      <c r="H16" s="51"/>
      <c r="I16" s="512"/>
      <c r="J16" s="139"/>
      <c r="K16" s="168"/>
      <c r="L16" s="132"/>
      <c r="M16" s="51">
        <v>3</v>
      </c>
      <c r="N16" s="51"/>
      <c r="O16" s="512"/>
      <c r="P16" s="515"/>
      <c r="Q16" s="168"/>
      <c r="R16" s="163"/>
      <c r="S16" s="51">
        <v>3</v>
      </c>
      <c r="T16" s="51"/>
      <c r="U16" s="512"/>
      <c r="V16" s="515"/>
      <c r="W16" s="168"/>
      <c r="X16" s="132"/>
      <c r="Y16" s="51">
        <v>3</v>
      </c>
      <c r="Z16" s="51"/>
      <c r="AA16" s="561"/>
      <c r="AB16" s="515"/>
      <c r="AC16" s="168"/>
      <c r="AD16" s="550"/>
      <c r="AE16" s="516"/>
    </row>
    <row r="17" spans="1:31" ht="16.2" customHeight="1">
      <c r="A17" s="51">
        <v>3</v>
      </c>
      <c r="B17" s="51"/>
      <c r="C17" s="512"/>
      <c r="D17" s="139"/>
      <c r="E17" s="142"/>
      <c r="F17" s="132"/>
      <c r="G17" s="51">
        <v>3</v>
      </c>
      <c r="H17" s="51"/>
      <c r="I17" s="512"/>
      <c r="J17" s="139"/>
      <c r="K17" s="168"/>
      <c r="L17" s="132"/>
      <c r="M17" s="51">
        <v>3</v>
      </c>
      <c r="N17" s="51"/>
      <c r="O17" s="512"/>
      <c r="P17" s="515"/>
      <c r="Q17" s="168"/>
      <c r="R17" s="163"/>
      <c r="S17" s="51">
        <v>3</v>
      </c>
      <c r="T17" s="51"/>
      <c r="U17" s="512"/>
      <c r="V17" s="515"/>
      <c r="W17" s="168"/>
      <c r="X17" s="132"/>
      <c r="Y17" s="51">
        <v>3</v>
      </c>
      <c r="Z17" s="51"/>
      <c r="AA17" s="561"/>
      <c r="AB17" s="515"/>
      <c r="AC17" s="168"/>
      <c r="AD17" s="550"/>
      <c r="AE17" s="516"/>
    </row>
    <row r="18" spans="1:31" ht="16.2" customHeight="1">
      <c r="A18" s="51">
        <v>3</v>
      </c>
      <c r="B18" s="51"/>
      <c r="C18" s="512"/>
      <c r="D18" s="139"/>
      <c r="E18" s="142"/>
      <c r="F18" s="132"/>
      <c r="G18" s="51">
        <v>3</v>
      </c>
      <c r="H18" s="51"/>
      <c r="I18" s="512"/>
      <c r="J18" s="139"/>
      <c r="K18" s="168"/>
      <c r="L18" s="132"/>
      <c r="M18" s="51">
        <v>3</v>
      </c>
      <c r="N18" s="51"/>
      <c r="O18" s="512"/>
      <c r="P18" s="515"/>
      <c r="Q18" s="168"/>
      <c r="R18" s="163"/>
      <c r="S18" s="51">
        <v>3</v>
      </c>
      <c r="T18" s="51"/>
      <c r="U18" s="512"/>
      <c r="V18" s="515"/>
      <c r="W18" s="168"/>
      <c r="X18" s="132"/>
      <c r="Y18" s="51">
        <v>3</v>
      </c>
      <c r="Z18" s="51"/>
      <c r="AA18" s="561"/>
      <c r="AB18" s="515"/>
      <c r="AC18" s="168"/>
      <c r="AD18" s="550"/>
      <c r="AE18" s="516"/>
    </row>
    <row r="19" spans="1:31" ht="16.2" customHeight="1">
      <c r="A19" s="51">
        <v>3</v>
      </c>
      <c r="B19" s="51"/>
      <c r="C19" s="520"/>
      <c r="D19" s="208"/>
      <c r="E19" s="138"/>
      <c r="F19" s="133"/>
      <c r="G19" s="51">
        <v>3</v>
      </c>
      <c r="H19" s="51"/>
      <c r="I19" s="520"/>
      <c r="J19" s="208"/>
      <c r="K19" s="169"/>
      <c r="L19" s="133"/>
      <c r="M19" s="51">
        <v>3</v>
      </c>
      <c r="N19" s="51"/>
      <c r="O19" s="512"/>
      <c r="P19" s="519"/>
      <c r="Q19" s="169"/>
      <c r="R19" s="164"/>
      <c r="S19" s="51">
        <v>3</v>
      </c>
      <c r="T19" s="51"/>
      <c r="U19" s="520"/>
      <c r="V19" s="519"/>
      <c r="W19" s="169"/>
      <c r="X19" s="133"/>
      <c r="Y19" s="51">
        <v>3</v>
      </c>
      <c r="Z19" s="51"/>
      <c r="AA19" s="699"/>
      <c r="AB19" s="519"/>
      <c r="AC19" s="169"/>
      <c r="AD19" s="562"/>
      <c r="AE19" s="516"/>
    </row>
    <row r="20" spans="1:31" ht="16.2" customHeight="1" thickBot="1">
      <c r="A20" s="51">
        <v>3</v>
      </c>
      <c r="B20" s="51"/>
      <c r="C20" s="520"/>
      <c r="D20" s="208"/>
      <c r="E20" s="167"/>
      <c r="F20" s="133"/>
      <c r="G20" s="51">
        <v>3</v>
      </c>
      <c r="H20" s="51"/>
      <c r="I20" s="520"/>
      <c r="J20" s="208"/>
      <c r="K20" s="169"/>
      <c r="L20" s="133"/>
      <c r="M20" s="51">
        <v>3</v>
      </c>
      <c r="N20" s="51"/>
      <c r="O20" s="512"/>
      <c r="P20" s="519"/>
      <c r="Q20" s="169"/>
      <c r="R20" s="164"/>
      <c r="S20" s="51">
        <v>3</v>
      </c>
      <c r="T20" s="51"/>
      <c r="U20" s="675"/>
      <c r="V20" s="519"/>
      <c r="W20" s="169"/>
      <c r="X20" s="133"/>
      <c r="Y20" s="51">
        <v>3</v>
      </c>
      <c r="Z20" s="51"/>
      <c r="AA20" s="699"/>
      <c r="AB20" s="519"/>
      <c r="AC20" s="169"/>
      <c r="AD20" s="562"/>
      <c r="AE20" s="516"/>
    </row>
    <row r="21" spans="1:31" ht="16.2" customHeight="1" thickTop="1">
      <c r="A21" s="51">
        <v>4</v>
      </c>
      <c r="B21" s="51"/>
      <c r="C21" s="523" t="s">
        <v>692</v>
      </c>
      <c r="D21" s="27">
        <f>SUM(D13:D20)</f>
        <v>4300</v>
      </c>
      <c r="E21" s="34"/>
      <c r="F21" s="75">
        <f>SUM(F13:F20)</f>
        <v>0</v>
      </c>
      <c r="G21" s="51">
        <v>4</v>
      </c>
      <c r="H21" s="51"/>
      <c r="I21" s="523" t="s">
        <v>692</v>
      </c>
      <c r="J21" s="27">
        <f>SUM(J13:J20)</f>
        <v>6450</v>
      </c>
      <c r="K21" s="37"/>
      <c r="L21" s="75">
        <f>SUM(L13:L20)</f>
        <v>0</v>
      </c>
      <c r="M21" s="51">
        <v>4</v>
      </c>
      <c r="N21" s="51"/>
      <c r="O21" s="523" t="s">
        <v>692</v>
      </c>
      <c r="P21" s="27">
        <f>SUM(P13:P20)</f>
        <v>3000</v>
      </c>
      <c r="Q21" s="37"/>
      <c r="R21" s="75">
        <f>SUM(R13:R20)</f>
        <v>0</v>
      </c>
      <c r="S21" s="51">
        <v>4</v>
      </c>
      <c r="T21" s="51"/>
      <c r="U21" s="523" t="s">
        <v>692</v>
      </c>
      <c r="V21" s="27">
        <f>SUM(V13:V20)</f>
        <v>3550</v>
      </c>
      <c r="W21" s="37"/>
      <c r="X21" s="75">
        <f>SUM(X13:X20)</f>
        <v>0</v>
      </c>
      <c r="Y21" s="51">
        <v>4</v>
      </c>
      <c r="Z21" s="51"/>
      <c r="AA21" s="523" t="s">
        <v>692</v>
      </c>
      <c r="AB21" s="522">
        <f>SUM(AB13:AB20)</f>
        <v>0</v>
      </c>
      <c r="AC21" s="37"/>
      <c r="AD21" s="689">
        <f>SUM(AD13:AD20)</f>
        <v>0</v>
      </c>
      <c r="AE21" s="524">
        <f>D21+J21+P21+V21+AB21</f>
        <v>17300</v>
      </c>
    </row>
    <row r="22" spans="1:31" ht="16.2" customHeight="1">
      <c r="A22" s="51"/>
      <c r="B22" s="51"/>
      <c r="C22" s="526"/>
      <c r="D22" s="210"/>
      <c r="E22" s="228"/>
      <c r="F22" s="229"/>
      <c r="G22" s="51"/>
      <c r="H22" s="51"/>
      <c r="I22" s="526"/>
      <c r="J22" s="210"/>
      <c r="K22" s="230"/>
      <c r="L22" s="231"/>
      <c r="M22" s="51"/>
      <c r="N22" s="51"/>
      <c r="O22" s="526"/>
      <c r="P22" s="526"/>
      <c r="Q22" s="230"/>
      <c r="R22" s="229"/>
      <c r="S22" s="51"/>
      <c r="T22" s="51"/>
      <c r="U22" s="526"/>
      <c r="V22" s="526"/>
      <c r="W22" s="230"/>
      <c r="X22" s="229"/>
      <c r="Y22" s="51"/>
      <c r="Z22" s="51"/>
      <c r="AA22" s="526"/>
      <c r="AB22" s="526"/>
      <c r="AC22" s="36"/>
      <c r="AD22" s="527" t="s">
        <v>692</v>
      </c>
      <c r="AE22" s="93">
        <f>A東区折込部数+M東区折込部数+S東区折込部数+Y東区折込部数+AD21</f>
        <v>0</v>
      </c>
    </row>
    <row r="23" spans="1:31" ht="16.2" customHeight="1">
      <c r="A23" s="51">
        <v>2</v>
      </c>
      <c r="B23" s="488" t="s">
        <v>1438</v>
      </c>
      <c r="C23" s="46" t="s">
        <v>832</v>
      </c>
      <c r="D23" s="12"/>
      <c r="E23" s="32"/>
      <c r="F23" s="223"/>
      <c r="G23" s="51">
        <v>2</v>
      </c>
      <c r="H23" s="488" t="s">
        <v>1438</v>
      </c>
      <c r="I23" s="464"/>
      <c r="J23" s="211"/>
      <c r="K23" s="232"/>
      <c r="L23" s="223"/>
      <c r="M23" s="51">
        <v>2</v>
      </c>
      <c r="N23" s="488" t="s">
        <v>1438</v>
      </c>
      <c r="O23" s="489"/>
      <c r="P23" s="464"/>
      <c r="Q23" s="232"/>
      <c r="R23" s="223"/>
      <c r="S23" s="51">
        <v>2</v>
      </c>
      <c r="T23" s="488" t="s">
        <v>1438</v>
      </c>
      <c r="U23" s="464"/>
      <c r="V23" s="464"/>
      <c r="W23" s="232"/>
      <c r="X23" s="223"/>
      <c r="Y23" s="51">
        <v>2</v>
      </c>
      <c r="Z23" s="488" t="s">
        <v>1438</v>
      </c>
      <c r="AA23" s="464"/>
      <c r="AB23" s="464"/>
      <c r="AC23" s="35"/>
      <c r="AD23" s="16"/>
      <c r="AE23" s="11"/>
    </row>
    <row r="24" spans="1:31" ht="16.2" customHeight="1">
      <c r="A24" s="51">
        <v>3</v>
      </c>
      <c r="B24" s="51">
        <v>72379</v>
      </c>
      <c r="C24" s="690" t="s">
        <v>840</v>
      </c>
      <c r="D24" s="148">
        <v>550</v>
      </c>
      <c r="E24" s="142"/>
      <c r="F24" s="404"/>
      <c r="G24" s="51">
        <v>3</v>
      </c>
      <c r="H24" s="51">
        <v>73369</v>
      </c>
      <c r="I24" s="441" t="s">
        <v>514</v>
      </c>
      <c r="J24" s="493">
        <v>1200</v>
      </c>
      <c r="K24" s="142"/>
      <c r="L24" s="404"/>
      <c r="M24" s="51">
        <v>3</v>
      </c>
      <c r="N24" s="51">
        <v>75419</v>
      </c>
      <c r="O24" s="690" t="s">
        <v>840</v>
      </c>
      <c r="P24" s="148">
        <v>1400</v>
      </c>
      <c r="Q24" s="142"/>
      <c r="R24" s="404"/>
      <c r="S24" s="51">
        <v>3</v>
      </c>
      <c r="T24" s="51">
        <v>74495</v>
      </c>
      <c r="U24" s="441" t="s">
        <v>837</v>
      </c>
      <c r="V24" s="148">
        <v>1550</v>
      </c>
      <c r="W24" s="142"/>
      <c r="X24" s="404"/>
      <c r="Y24" s="51">
        <v>3</v>
      </c>
      <c r="Z24" s="51"/>
      <c r="AA24" s="688"/>
      <c r="AB24" s="511"/>
      <c r="AC24" s="170"/>
      <c r="AD24" s="171"/>
      <c r="AE24" s="513"/>
    </row>
    <row r="25" spans="1:31" ht="16.2" customHeight="1">
      <c r="A25" s="51">
        <v>3</v>
      </c>
      <c r="B25" s="51">
        <v>72381</v>
      </c>
      <c r="C25" s="386" t="s">
        <v>836</v>
      </c>
      <c r="D25" s="352">
        <v>2600</v>
      </c>
      <c r="E25" s="165"/>
      <c r="F25" s="405"/>
      <c r="G25" s="51">
        <v>3</v>
      </c>
      <c r="H25" s="51">
        <v>73371</v>
      </c>
      <c r="I25" s="691" t="s">
        <v>839</v>
      </c>
      <c r="J25" s="493">
        <v>2100</v>
      </c>
      <c r="K25" s="165"/>
      <c r="L25" s="405"/>
      <c r="M25" s="51">
        <v>3</v>
      </c>
      <c r="N25" s="51">
        <v>75421</v>
      </c>
      <c r="O25" s="386" t="s">
        <v>838</v>
      </c>
      <c r="P25" s="352">
        <v>1900</v>
      </c>
      <c r="Q25" s="165"/>
      <c r="R25" s="405"/>
      <c r="S25" s="51">
        <v>3</v>
      </c>
      <c r="T25" s="51">
        <v>74497</v>
      </c>
      <c r="U25" s="386" t="s">
        <v>839</v>
      </c>
      <c r="V25" s="352">
        <v>1600</v>
      </c>
      <c r="W25" s="142"/>
      <c r="X25" s="405"/>
      <c r="Y25" s="51">
        <v>3</v>
      </c>
      <c r="Z25" s="51"/>
      <c r="AA25" s="667"/>
      <c r="AB25" s="543"/>
      <c r="AC25" s="172"/>
      <c r="AD25" s="173"/>
      <c r="AE25" s="516"/>
    </row>
    <row r="26" spans="1:31" ht="16.2" customHeight="1">
      <c r="A26" s="51">
        <v>3</v>
      </c>
      <c r="B26" s="51">
        <v>72383</v>
      </c>
      <c r="C26" s="691" t="s">
        <v>1527</v>
      </c>
      <c r="D26" s="493" t="s">
        <v>1622</v>
      </c>
      <c r="E26" s="165"/>
      <c r="F26" s="405"/>
      <c r="G26" s="51">
        <v>3</v>
      </c>
      <c r="H26" s="51"/>
      <c r="I26" s="691"/>
      <c r="J26" s="352"/>
      <c r="K26" s="165"/>
      <c r="L26" s="405"/>
      <c r="M26" s="51">
        <v>3</v>
      </c>
      <c r="N26" s="51">
        <v>75423</v>
      </c>
      <c r="O26" s="691" t="s">
        <v>841</v>
      </c>
      <c r="P26" s="352">
        <v>1050</v>
      </c>
      <c r="Q26" s="165"/>
      <c r="R26" s="405"/>
      <c r="S26" s="51">
        <v>3</v>
      </c>
      <c r="T26" s="51">
        <v>74499</v>
      </c>
      <c r="U26" s="691" t="s">
        <v>840</v>
      </c>
      <c r="V26" s="352">
        <v>1500</v>
      </c>
      <c r="W26" s="142"/>
      <c r="X26" s="405"/>
      <c r="Y26" s="51">
        <v>3</v>
      </c>
      <c r="Z26" s="51"/>
      <c r="AA26" s="667"/>
      <c r="AB26" s="543"/>
      <c r="AC26" s="172"/>
      <c r="AD26" s="173"/>
      <c r="AE26" s="516"/>
    </row>
    <row r="27" spans="1:31" ht="16.2" customHeight="1">
      <c r="A27" s="51">
        <v>3</v>
      </c>
      <c r="B27" s="51">
        <v>72382</v>
      </c>
      <c r="C27" s="692" t="s">
        <v>1626</v>
      </c>
      <c r="D27" s="226">
        <v>900</v>
      </c>
      <c r="E27" s="165"/>
      <c r="F27" s="157"/>
      <c r="G27" s="51">
        <v>3</v>
      </c>
      <c r="H27" s="51"/>
      <c r="I27" s="691"/>
      <c r="J27" s="352"/>
      <c r="K27" s="165"/>
      <c r="L27" s="405"/>
      <c r="M27" s="51">
        <v>3</v>
      </c>
      <c r="N27" s="51">
        <v>75425</v>
      </c>
      <c r="O27" s="691" t="s">
        <v>837</v>
      </c>
      <c r="P27" s="352">
        <v>1000</v>
      </c>
      <c r="Q27" s="165"/>
      <c r="R27" s="405"/>
      <c r="S27" s="51">
        <v>3</v>
      </c>
      <c r="T27" s="51"/>
      <c r="U27" s="692"/>
      <c r="V27" s="226"/>
      <c r="W27" s="142"/>
      <c r="X27" s="157"/>
      <c r="Y27" s="51">
        <v>3</v>
      </c>
      <c r="Z27" s="51"/>
      <c r="AA27" s="667"/>
      <c r="AB27" s="543"/>
      <c r="AC27" s="172"/>
      <c r="AD27" s="173"/>
      <c r="AE27" s="516"/>
    </row>
    <row r="28" spans="1:31" ht="16.2" customHeight="1">
      <c r="A28" s="51">
        <v>3</v>
      </c>
      <c r="B28" s="51"/>
      <c r="C28" s="692"/>
      <c r="D28" s="226"/>
      <c r="E28" s="165"/>
      <c r="F28" s="157"/>
      <c r="G28" s="51">
        <v>3</v>
      </c>
      <c r="H28" s="51"/>
      <c r="I28" s="692"/>
      <c r="J28" s="226"/>
      <c r="K28" s="165"/>
      <c r="L28" s="157"/>
      <c r="M28" s="51">
        <v>3</v>
      </c>
      <c r="N28" s="51">
        <v>75427</v>
      </c>
      <c r="O28" s="691" t="s">
        <v>839</v>
      </c>
      <c r="P28" s="352">
        <v>2650</v>
      </c>
      <c r="Q28" s="165"/>
      <c r="R28" s="405"/>
      <c r="S28" s="51">
        <v>3</v>
      </c>
      <c r="T28" s="51"/>
      <c r="U28" s="692"/>
      <c r="V28" s="226"/>
      <c r="W28" s="142"/>
      <c r="X28" s="157"/>
      <c r="Y28" s="51">
        <v>3</v>
      </c>
      <c r="Z28" s="51"/>
      <c r="AA28" s="667"/>
      <c r="AB28" s="543"/>
      <c r="AC28" s="172"/>
      <c r="AD28" s="173"/>
      <c r="AE28" s="516"/>
    </row>
    <row r="29" spans="1:31" ht="16.2" customHeight="1">
      <c r="A29" s="51">
        <v>3</v>
      </c>
      <c r="B29" s="51"/>
      <c r="C29" s="692"/>
      <c r="D29" s="226"/>
      <c r="E29" s="165"/>
      <c r="F29" s="157"/>
      <c r="G29" s="51">
        <v>3</v>
      </c>
      <c r="H29" s="51"/>
      <c r="I29" s="692"/>
      <c r="J29" s="226"/>
      <c r="K29" s="165"/>
      <c r="L29" s="157"/>
      <c r="M29" s="51">
        <v>3</v>
      </c>
      <c r="N29" s="51"/>
      <c r="O29" s="692"/>
      <c r="P29" s="226"/>
      <c r="Q29" s="165"/>
      <c r="R29" s="157"/>
      <c r="S29" s="51">
        <v>3</v>
      </c>
      <c r="T29" s="51"/>
      <c r="U29" s="692"/>
      <c r="V29" s="226"/>
      <c r="W29" s="142"/>
      <c r="X29" s="157"/>
      <c r="Y29" s="51">
        <v>3</v>
      </c>
      <c r="Z29" s="51"/>
      <c r="AA29" s="667"/>
      <c r="AB29" s="543"/>
      <c r="AC29" s="172"/>
      <c r="AD29" s="173"/>
      <c r="AE29" s="516"/>
    </row>
    <row r="30" spans="1:31" ht="16.2" customHeight="1" thickBot="1">
      <c r="A30" s="51">
        <v>3</v>
      </c>
      <c r="B30" s="51"/>
      <c r="C30" s="520"/>
      <c r="D30" s="208"/>
      <c r="E30" s="167"/>
      <c r="F30" s="133"/>
      <c r="G30" s="51">
        <v>3</v>
      </c>
      <c r="H30" s="51"/>
      <c r="I30" s="699"/>
      <c r="J30" s="208"/>
      <c r="K30" s="169"/>
      <c r="L30" s="133"/>
      <c r="M30" s="51">
        <v>3</v>
      </c>
      <c r="N30" s="51"/>
      <c r="O30" s="699"/>
      <c r="P30" s="519"/>
      <c r="Q30" s="169"/>
      <c r="R30" s="164"/>
      <c r="S30" s="51">
        <v>3</v>
      </c>
      <c r="T30" s="51"/>
      <c r="U30" s="520"/>
      <c r="V30" s="208"/>
      <c r="W30" s="138"/>
      <c r="X30" s="133"/>
      <c r="Y30" s="51">
        <v>3</v>
      </c>
      <c r="Z30" s="51"/>
      <c r="AA30" s="699"/>
      <c r="AB30" s="519"/>
      <c r="AC30" s="169"/>
      <c r="AD30" s="175"/>
      <c r="AE30" s="516"/>
    </row>
    <row r="31" spans="1:31" ht="16.2" customHeight="1" thickTop="1">
      <c r="A31" s="51">
        <v>4</v>
      </c>
      <c r="B31" s="51"/>
      <c r="C31" s="523" t="s">
        <v>692</v>
      </c>
      <c r="D31" s="27">
        <f>SUM(D24:D30)</f>
        <v>4050</v>
      </c>
      <c r="E31" s="34"/>
      <c r="F31" s="75">
        <f>SUM(F24:F30)</f>
        <v>0</v>
      </c>
      <c r="G31" s="51">
        <v>4</v>
      </c>
      <c r="H31" s="51"/>
      <c r="I31" s="523" t="s">
        <v>692</v>
      </c>
      <c r="J31" s="27">
        <f>SUM(J24:J30)</f>
        <v>3300</v>
      </c>
      <c r="K31" s="37"/>
      <c r="L31" s="75">
        <f>SUM(L24:L30)</f>
        <v>0</v>
      </c>
      <c r="M31" s="51">
        <v>4</v>
      </c>
      <c r="N31" s="51"/>
      <c r="O31" s="523" t="s">
        <v>692</v>
      </c>
      <c r="P31" s="27">
        <f>SUM(P24:P30)</f>
        <v>8000</v>
      </c>
      <c r="Q31" s="37"/>
      <c r="R31" s="75">
        <f>SUM(R24:R30)</f>
        <v>0</v>
      </c>
      <c r="S31" s="51">
        <v>4</v>
      </c>
      <c r="T31" s="51"/>
      <c r="U31" s="523" t="s">
        <v>692</v>
      </c>
      <c r="V31" s="27">
        <f>SUM(V24:V30)</f>
        <v>4650</v>
      </c>
      <c r="W31" s="28"/>
      <c r="X31" s="75">
        <f>SUM(X24:X30)</f>
        <v>0</v>
      </c>
      <c r="Y31" s="51">
        <v>4</v>
      </c>
      <c r="Z31" s="51"/>
      <c r="AA31" s="523" t="s">
        <v>692</v>
      </c>
      <c r="AB31" s="283">
        <f>SUM(AB24:AB30)</f>
        <v>0</v>
      </c>
      <c r="AC31" s="282"/>
      <c r="AD31" s="75">
        <f>SUM(AD24:AD30)</f>
        <v>0</v>
      </c>
      <c r="AE31" s="524">
        <f>D31+J31+P31+V31+AB31</f>
        <v>20000</v>
      </c>
    </row>
    <row r="32" spans="1:31" ht="16.2" customHeight="1">
      <c r="A32" s="51">
        <v>9</v>
      </c>
      <c r="B32" s="51"/>
      <c r="D32" s="1"/>
      <c r="G32" s="51">
        <v>9</v>
      </c>
      <c r="H32" s="51"/>
      <c r="J32" s="1"/>
      <c r="L32" s="233"/>
      <c r="M32" s="51">
        <v>9</v>
      </c>
      <c r="N32" s="51"/>
      <c r="O32" s="489"/>
      <c r="P32" s="489"/>
      <c r="Q32" s="224"/>
      <c r="R32" s="233"/>
      <c r="S32" s="51">
        <v>9</v>
      </c>
      <c r="T32" s="51"/>
      <c r="U32" s="489"/>
      <c r="V32" s="489"/>
      <c r="W32" s="224"/>
      <c r="X32" s="224"/>
      <c r="Y32" s="51">
        <v>9</v>
      </c>
      <c r="Z32" s="51"/>
      <c r="AA32" s="489"/>
      <c r="AB32" s="489"/>
      <c r="AC32" s="224"/>
      <c r="AD32" s="527" t="s">
        <v>692</v>
      </c>
      <c r="AE32" s="93">
        <f>A西区折込部数+M西区折込部数+S西区折込部数+Y西区折込部数+AD31</f>
        <v>0</v>
      </c>
    </row>
    <row r="33" spans="3:31" ht="16.2" customHeight="1">
      <c r="C33" s="489"/>
      <c r="D33" s="298"/>
      <c r="E33" s="217"/>
      <c r="F33" s="224"/>
      <c r="G33" s="224"/>
      <c r="H33" s="224"/>
      <c r="I33" s="489"/>
      <c r="J33" s="298"/>
      <c r="K33" s="224"/>
      <c r="L33" s="224"/>
      <c r="M33" s="224"/>
      <c r="N33" s="224"/>
      <c r="O33" s="489"/>
      <c r="P33" s="489"/>
      <c r="Q33" s="224"/>
      <c r="R33" s="224"/>
      <c r="S33" s="224"/>
      <c r="T33" s="224"/>
      <c r="U33" s="489"/>
      <c r="V33" s="489"/>
      <c r="W33" s="224"/>
      <c r="X33" s="224"/>
      <c r="Y33" s="224"/>
      <c r="Z33" s="224"/>
      <c r="AA33" s="489"/>
      <c r="AB33" s="489"/>
      <c r="AC33" s="224"/>
      <c r="AD33" s="224"/>
      <c r="AE33" s="489"/>
    </row>
    <row r="34" spans="3:31" ht="16.2" customHeight="1">
      <c r="C34" s="489"/>
      <c r="D34" s="298"/>
      <c r="E34" s="217"/>
      <c r="F34" s="224"/>
      <c r="G34" s="224"/>
      <c r="H34" s="224"/>
      <c r="I34" s="489"/>
      <c r="J34" s="298"/>
      <c r="K34" s="224"/>
      <c r="L34" s="224"/>
      <c r="M34" s="224"/>
      <c r="N34" s="224"/>
      <c r="O34" s="489"/>
      <c r="P34" s="489"/>
      <c r="Q34" s="224"/>
      <c r="R34" s="224"/>
      <c r="S34" s="224"/>
      <c r="T34" s="224"/>
      <c r="U34" s="489"/>
      <c r="V34" s="489"/>
      <c r="W34" s="224"/>
      <c r="X34" s="224"/>
      <c r="Y34" s="224"/>
      <c r="Z34" s="224"/>
      <c r="AA34" s="489"/>
      <c r="AB34" s="489"/>
      <c r="AC34" s="224"/>
      <c r="AD34" s="224"/>
      <c r="AE34" s="489"/>
    </row>
    <row r="35" spans="3:31" ht="16.2" customHeight="1">
      <c r="C35" s="489"/>
      <c r="D35" s="298"/>
      <c r="E35" s="217"/>
      <c r="F35" s="224"/>
      <c r="G35" s="224"/>
      <c r="H35" s="224"/>
      <c r="I35" s="489"/>
      <c r="J35" s="298"/>
      <c r="K35" s="224"/>
      <c r="L35" s="224"/>
      <c r="M35" s="224"/>
      <c r="N35" s="224"/>
      <c r="O35" s="489"/>
      <c r="P35" s="489"/>
      <c r="Q35" s="224"/>
      <c r="R35" s="224"/>
      <c r="S35" s="224"/>
      <c r="T35" s="224"/>
      <c r="U35" s="489"/>
      <c r="V35" s="489"/>
      <c r="W35" s="224"/>
      <c r="X35" s="224"/>
      <c r="Y35" s="224"/>
      <c r="Z35" s="224"/>
      <c r="AA35" s="489"/>
      <c r="AB35" s="489"/>
      <c r="AC35" s="224"/>
      <c r="AD35" s="224"/>
      <c r="AE35" s="489"/>
    </row>
    <row r="36" spans="3:31" ht="16.2" customHeight="1">
      <c r="C36" s="489"/>
      <c r="D36" s="298"/>
      <c r="E36" s="217"/>
      <c r="F36" s="224"/>
      <c r="G36" s="224"/>
      <c r="H36" s="224"/>
      <c r="I36" s="489"/>
      <c r="J36" s="298"/>
      <c r="K36" s="224"/>
      <c r="L36" s="224"/>
      <c r="M36" s="224"/>
      <c r="N36" s="224"/>
      <c r="O36" s="489"/>
      <c r="P36" s="489"/>
      <c r="Q36" s="224"/>
      <c r="R36" s="224"/>
      <c r="S36" s="224"/>
      <c r="T36" s="224"/>
      <c r="U36" s="489"/>
      <c r="V36" s="489"/>
      <c r="W36" s="224"/>
      <c r="X36" s="224"/>
      <c r="Y36" s="224"/>
      <c r="Z36" s="224"/>
      <c r="AA36" s="489"/>
      <c r="AB36" s="489"/>
      <c r="AC36" s="224"/>
      <c r="AD36" s="224"/>
      <c r="AE36" s="489"/>
    </row>
    <row r="37" spans="3:31" ht="16.2" customHeight="1">
      <c r="C37" s="489"/>
      <c r="D37" s="298"/>
      <c r="E37" s="217"/>
      <c r="F37" s="224"/>
      <c r="G37" s="224"/>
      <c r="H37" s="224"/>
      <c r="I37" s="489"/>
      <c r="J37" s="298"/>
      <c r="K37" s="224"/>
      <c r="L37" s="224"/>
      <c r="M37" s="224"/>
      <c r="N37" s="224"/>
      <c r="O37" s="489"/>
      <c r="P37" s="489"/>
      <c r="Q37" s="224"/>
      <c r="R37" s="224"/>
      <c r="S37" s="224"/>
      <c r="T37" s="224"/>
      <c r="U37" s="489"/>
      <c r="V37" s="489"/>
      <c r="W37" s="224"/>
      <c r="X37" s="224"/>
      <c r="Y37" s="224"/>
      <c r="Z37" s="224"/>
      <c r="AA37" s="489"/>
      <c r="AB37" s="489"/>
      <c r="AC37" s="224"/>
      <c r="AD37" s="224"/>
      <c r="AE37" s="489"/>
    </row>
    <row r="38" spans="3:31" ht="16.2" customHeight="1">
      <c r="C38" s="489"/>
      <c r="D38" s="298"/>
      <c r="E38" s="217"/>
      <c r="F38" s="224"/>
      <c r="G38" s="224"/>
      <c r="H38" s="224"/>
      <c r="I38" s="489"/>
      <c r="J38" s="298"/>
      <c r="K38" s="224"/>
      <c r="L38" s="224"/>
      <c r="M38" s="224"/>
      <c r="N38" s="224"/>
      <c r="O38" s="489"/>
      <c r="P38" s="489"/>
      <c r="Q38" s="224"/>
      <c r="R38" s="224"/>
      <c r="S38" s="224"/>
      <c r="T38" s="224"/>
      <c r="U38" s="489"/>
      <c r="V38" s="489"/>
      <c r="W38" s="224"/>
      <c r="X38" s="224"/>
      <c r="Y38" s="224"/>
      <c r="Z38" s="224"/>
      <c r="AA38" s="489"/>
      <c r="AB38" s="489"/>
      <c r="AC38" s="224"/>
      <c r="AD38" s="224"/>
      <c r="AE38" s="489"/>
    </row>
    <row r="39" spans="3:31" ht="16.2" customHeight="1">
      <c r="C39" s="489"/>
      <c r="D39" s="298"/>
      <c r="E39" s="217"/>
      <c r="F39" s="224"/>
      <c r="G39" s="224"/>
      <c r="H39" s="224"/>
      <c r="I39" s="489"/>
      <c r="J39" s="298"/>
      <c r="K39" s="224"/>
      <c r="L39" s="224"/>
      <c r="M39" s="224"/>
      <c r="N39" s="224"/>
      <c r="O39" s="489"/>
      <c r="P39" s="489"/>
      <c r="Q39" s="224"/>
      <c r="R39" s="224"/>
      <c r="S39" s="224"/>
      <c r="T39" s="224"/>
      <c r="U39" s="489"/>
      <c r="V39" s="489"/>
      <c r="W39" s="224"/>
      <c r="X39" s="224"/>
      <c r="Y39" s="224"/>
      <c r="Z39" s="224"/>
      <c r="AA39" s="489"/>
      <c r="AB39" s="489"/>
      <c r="AC39" s="224"/>
      <c r="AD39" s="224"/>
      <c r="AE39" s="489"/>
    </row>
    <row r="40" spans="3:31" ht="16.2" customHeight="1">
      <c r="C40" s="489"/>
      <c r="D40" s="298"/>
      <c r="E40" s="217"/>
      <c r="F40" s="224"/>
      <c r="G40" s="224"/>
      <c r="H40" s="224"/>
      <c r="I40" s="489"/>
      <c r="J40" s="298"/>
      <c r="K40" s="224"/>
      <c r="L40" s="224"/>
      <c r="M40" s="224"/>
      <c r="N40" s="224"/>
      <c r="O40" s="489"/>
      <c r="P40" s="489"/>
      <c r="Q40" s="224"/>
      <c r="R40" s="224"/>
      <c r="S40" s="224"/>
      <c r="T40" s="224"/>
      <c r="U40" s="489"/>
      <c r="V40" s="489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3:31" ht="16.2" customHeight="1">
      <c r="C41" s="489"/>
      <c r="D41" s="298"/>
      <c r="E41" s="217"/>
      <c r="F41" s="224"/>
      <c r="G41" s="224"/>
      <c r="H41" s="224"/>
      <c r="I41" s="489"/>
      <c r="J41" s="298"/>
      <c r="K41" s="224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3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3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3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3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3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3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3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298"/>
      <c r="E103" s="217"/>
      <c r="F103" s="224"/>
      <c r="G103" s="224"/>
      <c r="H103" s="224"/>
      <c r="I103" s="489"/>
      <c r="J103" s="298"/>
      <c r="K103" s="224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298"/>
      <c r="E104" s="217"/>
      <c r="F104" s="224"/>
      <c r="G104" s="224"/>
      <c r="H104" s="224"/>
      <c r="I104" s="489"/>
      <c r="J104" s="298"/>
      <c r="K104" s="224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298"/>
      <c r="E105" s="217"/>
      <c r="F105" s="224"/>
      <c r="G105" s="224"/>
      <c r="H105" s="224"/>
      <c r="I105" s="489"/>
      <c r="J105" s="298"/>
      <c r="K105" s="224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298"/>
      <c r="E106" s="217"/>
      <c r="F106" s="224"/>
      <c r="G106" s="224"/>
      <c r="H106" s="224"/>
      <c r="I106" s="489"/>
      <c r="J106" s="298"/>
      <c r="K106" s="224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298"/>
      <c r="E107" s="217"/>
      <c r="F107" s="224"/>
      <c r="G107" s="224"/>
      <c r="H107" s="224"/>
      <c r="I107" s="489"/>
      <c r="J107" s="298"/>
      <c r="K107" s="224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298"/>
      <c r="E108" s="217"/>
      <c r="F108" s="224"/>
      <c r="G108" s="224"/>
      <c r="H108" s="224"/>
      <c r="I108" s="489"/>
      <c r="J108" s="298"/>
      <c r="K108" s="224"/>
      <c r="L108" s="224"/>
      <c r="M108" s="224"/>
      <c r="N108" s="224"/>
      <c r="O108" s="489"/>
      <c r="P108" s="489"/>
      <c r="Q108" s="224"/>
      <c r="R108" s="224"/>
      <c r="S108" s="224"/>
      <c r="T108" s="224"/>
      <c r="U108" s="489"/>
      <c r="V108" s="489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D109" s="1"/>
      <c r="J109" s="1"/>
    </row>
    <row r="110" spans="3:31" ht="16.2" customHeight="1">
      <c r="D110" s="1"/>
      <c r="J110" s="1"/>
    </row>
    <row r="111" spans="3:31" ht="16.2" customHeight="1">
      <c r="D111" s="1"/>
      <c r="J111" s="1"/>
    </row>
    <row r="112" spans="3:31" ht="16.2" customHeight="1">
      <c r="D112" s="1"/>
      <c r="J112" s="1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  <row r="520" spans="4:10" ht="16.2" customHeight="1">
      <c r="D520" s="1"/>
      <c r="J520" s="1"/>
    </row>
    <row r="521" spans="4:10" ht="16.2" customHeight="1">
      <c r="D521" s="1"/>
      <c r="J521" s="1"/>
    </row>
    <row r="522" spans="4:10" ht="16.2" customHeight="1">
      <c r="D522" s="1"/>
      <c r="J522" s="1"/>
    </row>
    <row r="523" spans="4:10" ht="16.2" customHeight="1">
      <c r="D523" s="1"/>
      <c r="J523" s="1"/>
    </row>
    <row r="524" spans="4:10" ht="16.2" customHeight="1">
      <c r="D524" s="1"/>
      <c r="J524" s="1"/>
    </row>
  </sheetData>
  <sheetProtection formatCells="0"/>
  <mergeCells count="14">
    <mergeCell ref="D7:L8"/>
    <mergeCell ref="C10:F10"/>
    <mergeCell ref="I10:L10"/>
    <mergeCell ref="AA10:AD10"/>
    <mergeCell ref="W7:X7"/>
    <mergeCell ref="O10:R10"/>
    <mergeCell ref="U10:X10"/>
    <mergeCell ref="P7:Q8"/>
    <mergeCell ref="AA7:AE8"/>
    <mergeCell ref="C2:F3"/>
    <mergeCell ref="D5:L6"/>
    <mergeCell ref="W5:X5"/>
    <mergeCell ref="P5:V6"/>
    <mergeCell ref="AA5:AC6"/>
  </mergeCells>
  <phoneticPr fontId="2"/>
  <conditionalFormatting sqref="F13:F14 L13:L14 R13:R15 R24:R28 L24:L27 F24:F26 X13:X15">
    <cfRule type="cellIs" dxfId="19" priority="1" operator="greaterThan">
      <formula>D13</formula>
    </cfRule>
  </conditionalFormatting>
  <conditionalFormatting sqref="X24:X26">
    <cfRule type="cellIs" dxfId="18" priority="29" operator="greaterThan">
      <formula>V24</formula>
    </cfRule>
  </conditionalFormatting>
  <hyperlinks>
    <hyperlink ref="C2:F3" location="提案表紙!A1" display="大阪府折込資料表" xr:uid="{00000000-0004-0000-1A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&amp;L東区・西区&amp;RP-23/34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8">
    <tabColor rgb="FFB6D2F5"/>
    <pageSetUpPr fitToPage="1"/>
  </sheetPr>
  <dimension ref="A1:AE121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hidden="1" customWidth="1"/>
    <col min="2" max="2" width="12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E4"/>
      <c r="F4"/>
      <c r="G4"/>
      <c r="H4"/>
      <c r="I4" s="187">
        <v>45717</v>
      </c>
      <c r="J4" s="186" t="s">
        <v>0</v>
      </c>
      <c r="K4" t="s">
        <v>417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418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419</v>
      </c>
      <c r="P7" s="827">
        <f>提案表紙!G9</f>
        <v>0</v>
      </c>
      <c r="Q7" s="828"/>
      <c r="R7" s="7" t="s">
        <v>676</v>
      </c>
      <c r="S7"/>
      <c r="T7"/>
      <c r="U7" s="410">
        <f>南区折込部数+北区折込部数+美原区折込部数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688</v>
      </c>
      <c r="D11" s="504" t="s">
        <v>689</v>
      </c>
      <c r="E11" s="319" t="s">
        <v>690</v>
      </c>
      <c r="F11" s="505" t="s">
        <v>212</v>
      </c>
      <c r="G11" s="51"/>
      <c r="H11" s="51"/>
      <c r="I11" s="503" t="s">
        <v>688</v>
      </c>
      <c r="J11" s="504" t="s">
        <v>689</v>
      </c>
      <c r="K11" s="319" t="s">
        <v>690</v>
      </c>
      <c r="L11" s="505" t="s">
        <v>212</v>
      </c>
      <c r="M11" s="51"/>
      <c r="N11" s="51"/>
      <c r="O11" s="503" t="s">
        <v>688</v>
      </c>
      <c r="P11" s="504" t="s">
        <v>689</v>
      </c>
      <c r="Q11" s="319" t="s">
        <v>690</v>
      </c>
      <c r="R11" s="505" t="s">
        <v>212</v>
      </c>
      <c r="S11" s="51"/>
      <c r="T11" s="51"/>
      <c r="U11" s="503" t="s">
        <v>688</v>
      </c>
      <c r="V11" s="504" t="s">
        <v>689</v>
      </c>
      <c r="W11" s="319" t="s">
        <v>690</v>
      </c>
      <c r="X11" s="505" t="s">
        <v>212</v>
      </c>
      <c r="Y11" s="51"/>
      <c r="Z11" s="51"/>
      <c r="AA11" s="503" t="s">
        <v>688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1439</v>
      </c>
      <c r="C12" s="46" t="s">
        <v>481</v>
      </c>
      <c r="G12" s="51">
        <v>2</v>
      </c>
      <c r="H12" s="488" t="s">
        <v>1439</v>
      </c>
      <c r="M12" s="51">
        <v>2</v>
      </c>
      <c r="N12" s="488" t="s">
        <v>1439</v>
      </c>
      <c r="R12"/>
      <c r="S12" s="51">
        <v>2</v>
      </c>
      <c r="T12" s="488" t="s">
        <v>1439</v>
      </c>
      <c r="X12"/>
      <c r="Y12" s="51">
        <v>2</v>
      </c>
      <c r="Z12" s="488" t="s">
        <v>1439</v>
      </c>
      <c r="AB12" s="15"/>
      <c r="AC12"/>
      <c r="AD12"/>
    </row>
    <row r="13" spans="1:31" ht="16.2" customHeight="1">
      <c r="A13" s="51">
        <v>3</v>
      </c>
      <c r="B13" s="51">
        <v>72385</v>
      </c>
      <c r="C13" s="441" t="s">
        <v>1540</v>
      </c>
      <c r="D13" s="148">
        <v>3400</v>
      </c>
      <c r="E13" s="162"/>
      <c r="F13" s="404"/>
      <c r="G13" s="51">
        <v>3</v>
      </c>
      <c r="H13" s="51">
        <v>73373</v>
      </c>
      <c r="I13" s="441" t="s">
        <v>423</v>
      </c>
      <c r="J13" s="148">
        <v>750</v>
      </c>
      <c r="K13" s="177"/>
      <c r="L13" s="404"/>
      <c r="M13" s="51">
        <v>3</v>
      </c>
      <c r="N13" s="51">
        <v>75431</v>
      </c>
      <c r="O13" s="441" t="s">
        <v>1562</v>
      </c>
      <c r="P13" s="148">
        <v>1200</v>
      </c>
      <c r="Q13" s="177"/>
      <c r="R13" s="404"/>
      <c r="S13" s="51">
        <v>3</v>
      </c>
      <c r="T13" s="51">
        <v>74501</v>
      </c>
      <c r="U13" s="441" t="s">
        <v>1575</v>
      </c>
      <c r="V13" s="148">
        <v>1500</v>
      </c>
      <c r="W13" s="177"/>
      <c r="X13" s="404"/>
      <c r="Y13" s="51">
        <v>3</v>
      </c>
      <c r="Z13" s="51"/>
      <c r="AA13" s="703"/>
      <c r="AB13" s="215"/>
      <c r="AC13" s="136"/>
      <c r="AD13" s="129"/>
      <c r="AE13" s="704"/>
    </row>
    <row r="14" spans="1:31" ht="16.2" customHeight="1">
      <c r="A14" s="51">
        <v>3</v>
      </c>
      <c r="B14" s="51">
        <v>72391</v>
      </c>
      <c r="C14" s="691" t="s">
        <v>422</v>
      </c>
      <c r="D14" s="352">
        <v>3850</v>
      </c>
      <c r="E14" s="146"/>
      <c r="F14" s="405"/>
      <c r="G14" s="51">
        <v>3</v>
      </c>
      <c r="H14" s="51">
        <v>73375</v>
      </c>
      <c r="I14" s="691" t="s">
        <v>1587</v>
      </c>
      <c r="J14" s="352">
        <v>2000</v>
      </c>
      <c r="K14" s="198"/>
      <c r="L14" s="405"/>
      <c r="M14" s="51">
        <v>3</v>
      </c>
      <c r="N14" s="51">
        <v>75433</v>
      </c>
      <c r="O14" s="691" t="s">
        <v>1559</v>
      </c>
      <c r="P14" s="352">
        <v>1200</v>
      </c>
      <c r="Q14" s="198"/>
      <c r="R14" s="405"/>
      <c r="S14" s="51">
        <v>3</v>
      </c>
      <c r="T14" s="51">
        <v>74503</v>
      </c>
      <c r="U14" s="691" t="s">
        <v>1576</v>
      </c>
      <c r="V14" s="352">
        <v>3400</v>
      </c>
      <c r="W14" s="198"/>
      <c r="X14" s="405"/>
      <c r="Y14" s="51">
        <v>3</v>
      </c>
      <c r="Z14" s="51"/>
      <c r="AA14" s="692"/>
      <c r="AB14" s="226"/>
      <c r="AC14" s="156"/>
      <c r="AD14" s="157"/>
      <c r="AE14" s="706"/>
    </row>
    <row r="15" spans="1:31" ht="16.2" customHeight="1">
      <c r="A15" s="51">
        <v>3</v>
      </c>
      <c r="B15" s="51"/>
      <c r="C15" s="691"/>
      <c r="D15" s="352"/>
      <c r="E15" s="146"/>
      <c r="F15" s="405"/>
      <c r="G15" s="51">
        <v>3</v>
      </c>
      <c r="H15" s="51">
        <v>73381</v>
      </c>
      <c r="I15" s="691" t="s">
        <v>1310</v>
      </c>
      <c r="J15" s="352">
        <v>1700</v>
      </c>
      <c r="K15" s="198"/>
      <c r="L15" s="405"/>
      <c r="M15" s="51">
        <v>3</v>
      </c>
      <c r="N15" s="51">
        <v>75437</v>
      </c>
      <c r="O15" s="691" t="s">
        <v>424</v>
      </c>
      <c r="P15" s="352">
        <v>900</v>
      </c>
      <c r="Q15" s="198"/>
      <c r="R15" s="405"/>
      <c r="S15" s="51">
        <v>3</v>
      </c>
      <c r="T15" s="51">
        <v>74505</v>
      </c>
      <c r="U15" s="386" t="s">
        <v>1577</v>
      </c>
      <c r="V15" s="352">
        <v>1450</v>
      </c>
      <c r="W15" s="198"/>
      <c r="X15" s="405"/>
      <c r="Y15" s="51">
        <v>3</v>
      </c>
      <c r="Z15" s="51"/>
      <c r="AA15" s="692"/>
      <c r="AB15" s="226"/>
      <c r="AC15" s="156"/>
      <c r="AD15" s="157"/>
      <c r="AE15" s="706"/>
    </row>
    <row r="16" spans="1:31" ht="16.2" customHeight="1">
      <c r="A16" s="51">
        <v>3</v>
      </c>
      <c r="B16" s="51"/>
      <c r="C16" s="691"/>
      <c r="D16" s="352"/>
      <c r="E16" s="146"/>
      <c r="F16" s="405"/>
      <c r="G16" s="51">
        <v>3</v>
      </c>
      <c r="H16" s="51"/>
      <c r="I16" s="691"/>
      <c r="J16" s="493"/>
      <c r="K16" s="198"/>
      <c r="L16" s="405"/>
      <c r="M16" s="51">
        <v>3</v>
      </c>
      <c r="N16" s="51">
        <v>75439</v>
      </c>
      <c r="O16" s="691" t="s">
        <v>420</v>
      </c>
      <c r="P16" s="352">
        <v>950</v>
      </c>
      <c r="Q16" s="198"/>
      <c r="R16" s="405"/>
      <c r="S16" s="51">
        <v>3</v>
      </c>
      <c r="T16" s="51">
        <v>74509</v>
      </c>
      <c r="U16" s="691" t="s">
        <v>1578</v>
      </c>
      <c r="V16" s="352">
        <v>1550</v>
      </c>
      <c r="W16" s="198"/>
      <c r="X16" s="405"/>
      <c r="Y16" s="51">
        <v>3</v>
      </c>
      <c r="Z16" s="51"/>
      <c r="AA16" s="692"/>
      <c r="AB16" s="226"/>
      <c r="AC16" s="156"/>
      <c r="AD16" s="157"/>
      <c r="AE16" s="706"/>
    </row>
    <row r="17" spans="1:31" ht="16.2" customHeight="1">
      <c r="A17" s="51">
        <v>3</v>
      </c>
      <c r="B17" s="51"/>
      <c r="C17" s="691"/>
      <c r="D17" s="352"/>
      <c r="E17" s="146"/>
      <c r="F17" s="405"/>
      <c r="G17" s="51">
        <v>3</v>
      </c>
      <c r="H17" s="51"/>
      <c r="I17" s="691"/>
      <c r="J17" s="352"/>
      <c r="K17" s="198"/>
      <c r="L17" s="405"/>
      <c r="M17" s="51">
        <v>3</v>
      </c>
      <c r="N17" s="51">
        <v>75441</v>
      </c>
      <c r="O17" s="691" t="s">
        <v>421</v>
      </c>
      <c r="P17" s="352">
        <v>1800</v>
      </c>
      <c r="Q17" s="198"/>
      <c r="R17" s="405"/>
      <c r="S17" s="51">
        <v>3</v>
      </c>
      <c r="T17" s="51"/>
      <c r="U17" s="691"/>
      <c r="V17" s="352"/>
      <c r="W17" s="198"/>
      <c r="X17" s="405"/>
      <c r="Y17" s="51">
        <v>3</v>
      </c>
      <c r="Z17" s="51"/>
      <c r="AA17" s="692"/>
      <c r="AB17" s="226"/>
      <c r="AC17" s="156"/>
      <c r="AD17" s="157"/>
      <c r="AE17" s="706"/>
    </row>
    <row r="18" spans="1:31" ht="16.2" customHeight="1">
      <c r="A18" s="51">
        <v>3</v>
      </c>
      <c r="B18" s="51"/>
      <c r="C18" s="512"/>
      <c r="D18" s="139"/>
      <c r="E18" s="146"/>
      <c r="F18" s="132"/>
      <c r="G18" s="51">
        <v>3</v>
      </c>
      <c r="H18" s="51"/>
      <c r="I18" s="512"/>
      <c r="J18" s="139"/>
      <c r="K18" s="137"/>
      <c r="L18" s="132"/>
      <c r="M18" s="51">
        <v>3</v>
      </c>
      <c r="N18" s="51"/>
      <c r="O18" s="512"/>
      <c r="P18" s="139"/>
      <c r="Q18" s="137"/>
      <c r="R18" s="132"/>
      <c r="S18" s="51">
        <v>3</v>
      </c>
      <c r="T18" s="51"/>
      <c r="U18" s="512"/>
      <c r="V18" s="139"/>
      <c r="W18" s="146"/>
      <c r="X18" s="132"/>
      <c r="Y18" s="51">
        <v>3</v>
      </c>
      <c r="Z18" s="51"/>
      <c r="AA18" s="512"/>
      <c r="AB18" s="139"/>
      <c r="AC18" s="137"/>
      <c r="AD18" s="132"/>
      <c r="AE18" s="516"/>
    </row>
    <row r="19" spans="1:31" ht="16.2" customHeight="1" thickBot="1">
      <c r="A19" s="51">
        <v>3</v>
      </c>
      <c r="B19" s="51"/>
      <c r="C19" s="512"/>
      <c r="D19" s="139"/>
      <c r="E19" s="178"/>
      <c r="F19" s="132"/>
      <c r="G19" s="51">
        <v>3</v>
      </c>
      <c r="H19" s="51"/>
      <c r="I19" s="512"/>
      <c r="J19" s="139"/>
      <c r="K19" s="137"/>
      <c r="L19" s="132"/>
      <c r="M19" s="51">
        <v>3</v>
      </c>
      <c r="N19" s="51"/>
      <c r="O19" s="512"/>
      <c r="P19" s="139"/>
      <c r="Q19" s="137"/>
      <c r="R19" s="132"/>
      <c r="S19" s="51">
        <v>3</v>
      </c>
      <c r="T19" s="51"/>
      <c r="U19" s="512"/>
      <c r="V19" s="139"/>
      <c r="W19" s="137"/>
      <c r="X19" s="132"/>
      <c r="Y19" s="51">
        <v>3</v>
      </c>
      <c r="Z19" s="51"/>
      <c r="AA19" s="512"/>
      <c r="AB19" s="139"/>
      <c r="AC19" s="137"/>
      <c r="AD19" s="132"/>
      <c r="AE19" s="516"/>
    </row>
    <row r="20" spans="1:31" ht="16.2" customHeight="1" thickTop="1">
      <c r="A20" s="51">
        <v>4</v>
      </c>
      <c r="B20" s="51"/>
      <c r="C20" s="523" t="s">
        <v>692</v>
      </c>
      <c r="D20" s="535">
        <f xml:space="preserve"> SUM(D13:D19)</f>
        <v>7250</v>
      </c>
      <c r="E20" s="28"/>
      <c r="F20" s="75">
        <f>SUM(F13:F19)</f>
        <v>0</v>
      </c>
      <c r="G20" s="51">
        <v>4</v>
      </c>
      <c r="H20" s="51"/>
      <c r="I20" s="523" t="s">
        <v>692</v>
      </c>
      <c r="J20" s="535">
        <f xml:space="preserve"> SUM(J13:J19)</f>
        <v>4450</v>
      </c>
      <c r="K20" s="28"/>
      <c r="L20" s="75">
        <f>SUM(L13:L19)</f>
        <v>0</v>
      </c>
      <c r="M20" s="51">
        <v>4</v>
      </c>
      <c r="N20" s="51"/>
      <c r="O20" s="523" t="s">
        <v>692</v>
      </c>
      <c r="P20" s="535">
        <f xml:space="preserve"> SUM(P13:P19)</f>
        <v>6050</v>
      </c>
      <c r="Q20" s="28"/>
      <c r="R20" s="75">
        <f>SUM(R13:R19)</f>
        <v>0</v>
      </c>
      <c r="S20" s="51">
        <v>4</v>
      </c>
      <c r="T20" s="51"/>
      <c r="U20" s="523" t="s">
        <v>692</v>
      </c>
      <c r="V20" s="535">
        <f xml:space="preserve"> SUM(V13:V19)</f>
        <v>7900</v>
      </c>
      <c r="W20" s="28"/>
      <c r="X20" s="75">
        <f>SUM(X13:X19)</f>
        <v>0</v>
      </c>
      <c r="Y20" s="51">
        <v>4</v>
      </c>
      <c r="Z20" s="51"/>
      <c r="AA20" s="702" t="s">
        <v>692</v>
      </c>
      <c r="AB20" s="535">
        <f>SUM(AB13:AB19)</f>
        <v>0</v>
      </c>
      <c r="AC20" s="28"/>
      <c r="AD20" s="92">
        <f>SUM(AD13:AD19)</f>
        <v>0</v>
      </c>
      <c r="AE20" s="524">
        <f>D20+J20+P20+V20+AB20</f>
        <v>25650</v>
      </c>
    </row>
    <row r="21" spans="1:31" ht="16.2" customHeight="1">
      <c r="A21" s="51"/>
      <c r="B21" s="51"/>
      <c r="C21" s="18"/>
      <c r="D21" s="20"/>
      <c r="F21" s="189"/>
      <c r="G21" s="51"/>
      <c r="H21" s="51"/>
      <c r="I21" s="18"/>
      <c r="J21" s="20"/>
      <c r="L21" s="189"/>
      <c r="M21" s="51"/>
      <c r="N21" s="51"/>
      <c r="O21" s="18"/>
      <c r="P21" s="20"/>
      <c r="R21" s="189"/>
      <c r="S21" s="51"/>
      <c r="T21" s="51"/>
      <c r="U21" s="18"/>
      <c r="V21" s="20"/>
      <c r="X21" s="189"/>
      <c r="Y21" s="51"/>
      <c r="Z21" s="51"/>
      <c r="AA21" s="18"/>
      <c r="AB21" s="20"/>
      <c r="AD21" s="527" t="s">
        <v>692</v>
      </c>
      <c r="AE21" s="93">
        <f>A南区折込部数+M南区折込部数+S南区折込部数+Y南区折込部数+AD20</f>
        <v>0</v>
      </c>
    </row>
    <row r="22" spans="1:31" ht="16.2" customHeight="1">
      <c r="A22" s="51">
        <v>2</v>
      </c>
      <c r="B22" s="488" t="s">
        <v>1440</v>
      </c>
      <c r="C22" s="46" t="s">
        <v>985</v>
      </c>
      <c r="F22" s="224"/>
      <c r="G22" s="51">
        <v>2</v>
      </c>
      <c r="H22" s="488" t="s">
        <v>1440</v>
      </c>
      <c r="I22" s="489"/>
      <c r="J22" s="489"/>
      <c r="K22" s="217"/>
      <c r="L22" s="224"/>
      <c r="M22" s="51">
        <v>2</v>
      </c>
      <c r="N22" s="488" t="s">
        <v>1440</v>
      </c>
      <c r="O22" s="489"/>
      <c r="P22" s="489"/>
      <c r="Q22" s="217"/>
      <c r="R22" s="224"/>
      <c r="S22" s="51">
        <v>2</v>
      </c>
      <c r="T22" s="488" t="s">
        <v>1440</v>
      </c>
      <c r="X22" s="224"/>
      <c r="Y22" s="51">
        <v>2</v>
      </c>
      <c r="Z22" s="488" t="s">
        <v>1440</v>
      </c>
      <c r="AA22" s="489"/>
      <c r="AB22" s="489"/>
      <c r="AD22" s="90"/>
      <c r="AE22" s="707"/>
    </row>
    <row r="23" spans="1:31" ht="16.2" customHeight="1">
      <c r="A23" s="51">
        <v>3</v>
      </c>
      <c r="B23" s="51">
        <v>72395</v>
      </c>
      <c r="C23" s="441" t="s">
        <v>473</v>
      </c>
      <c r="D23" s="148">
        <v>850</v>
      </c>
      <c r="E23" s="177"/>
      <c r="F23" s="404"/>
      <c r="G23" s="51">
        <v>3</v>
      </c>
      <c r="H23" s="51">
        <v>73383</v>
      </c>
      <c r="I23" s="441" t="s">
        <v>1636</v>
      </c>
      <c r="J23" s="148">
        <v>1500</v>
      </c>
      <c r="K23" s="162"/>
      <c r="L23" s="404"/>
      <c r="M23" s="51">
        <v>3</v>
      </c>
      <c r="N23" s="51">
        <v>75443</v>
      </c>
      <c r="O23" s="441" t="s">
        <v>1586</v>
      </c>
      <c r="P23" s="148">
        <v>4250</v>
      </c>
      <c r="Q23" s="177"/>
      <c r="R23" s="404"/>
      <c r="S23" s="51">
        <v>3</v>
      </c>
      <c r="T23" s="51">
        <v>74511</v>
      </c>
      <c r="U23" s="441" t="s">
        <v>474</v>
      </c>
      <c r="V23" s="148">
        <v>2550</v>
      </c>
      <c r="W23" s="177"/>
      <c r="X23" s="404"/>
      <c r="Y23" s="51">
        <v>3</v>
      </c>
      <c r="Z23" s="51"/>
      <c r="AA23" s="703"/>
      <c r="AB23" s="215"/>
      <c r="AC23" s="177"/>
      <c r="AD23" s="129"/>
      <c r="AE23" s="704"/>
    </row>
    <row r="24" spans="1:31" ht="16.2" customHeight="1">
      <c r="A24" s="51">
        <v>3</v>
      </c>
      <c r="B24" s="51">
        <v>72397</v>
      </c>
      <c r="C24" s="691" t="s">
        <v>1365</v>
      </c>
      <c r="D24" s="352">
        <v>2300</v>
      </c>
      <c r="E24" s="198"/>
      <c r="F24" s="405"/>
      <c r="G24" s="51">
        <v>3</v>
      </c>
      <c r="H24" s="51">
        <v>73384</v>
      </c>
      <c r="I24" s="691" t="s">
        <v>1637</v>
      </c>
      <c r="J24" s="352">
        <v>1250</v>
      </c>
      <c r="K24" s="254"/>
      <c r="L24" s="396"/>
      <c r="M24" s="51">
        <v>3</v>
      </c>
      <c r="N24" s="51">
        <v>75447</v>
      </c>
      <c r="O24" s="691" t="s">
        <v>1092</v>
      </c>
      <c r="P24" s="352">
        <v>600</v>
      </c>
      <c r="Q24" s="198"/>
      <c r="R24" s="405"/>
      <c r="S24" s="51">
        <v>3</v>
      </c>
      <c r="T24" s="51">
        <v>74513</v>
      </c>
      <c r="U24" s="691" t="s">
        <v>426</v>
      </c>
      <c r="V24" s="352">
        <v>3300</v>
      </c>
      <c r="W24" s="198"/>
      <c r="X24" s="396"/>
      <c r="Y24" s="51">
        <v>3</v>
      </c>
      <c r="Z24" s="51"/>
      <c r="AA24" s="512"/>
      <c r="AB24" s="139"/>
      <c r="AC24" s="146"/>
      <c r="AD24" s="132"/>
      <c r="AE24" s="706"/>
    </row>
    <row r="25" spans="1:31" ht="16.2" customHeight="1">
      <c r="A25" s="51">
        <v>3</v>
      </c>
      <c r="B25" s="51">
        <v>72399</v>
      </c>
      <c r="C25" s="691" t="s">
        <v>1510</v>
      </c>
      <c r="D25" s="352">
        <v>850</v>
      </c>
      <c r="E25" s="198"/>
      <c r="F25" s="405"/>
      <c r="G25" s="51">
        <v>3</v>
      </c>
      <c r="H25" s="51">
        <v>73385</v>
      </c>
      <c r="I25" s="691" t="s">
        <v>473</v>
      </c>
      <c r="J25" s="352">
        <v>1000</v>
      </c>
      <c r="K25" s="146"/>
      <c r="L25" s="405"/>
      <c r="M25" s="51">
        <v>3</v>
      </c>
      <c r="N25" s="51">
        <v>75449</v>
      </c>
      <c r="O25" s="691" t="s">
        <v>1081</v>
      </c>
      <c r="P25" s="352">
        <v>2350</v>
      </c>
      <c r="Q25" s="198"/>
      <c r="R25" s="405"/>
      <c r="S25" s="51">
        <v>3</v>
      </c>
      <c r="T25" s="51">
        <v>74515</v>
      </c>
      <c r="U25" s="691" t="s">
        <v>425</v>
      </c>
      <c r="V25" s="352">
        <v>3350</v>
      </c>
      <c r="W25" s="198"/>
      <c r="X25" s="405"/>
      <c r="Y25" s="51">
        <v>3</v>
      </c>
      <c r="Z25" s="51"/>
      <c r="AA25" s="512"/>
      <c r="AB25" s="139"/>
      <c r="AC25" s="146"/>
      <c r="AD25" s="132"/>
      <c r="AE25" s="706"/>
    </row>
    <row r="26" spans="1:31" ht="16.2" customHeight="1">
      <c r="A26" s="51">
        <v>3</v>
      </c>
      <c r="B26" s="51">
        <v>72401</v>
      </c>
      <c r="C26" s="691" t="s">
        <v>1511</v>
      </c>
      <c r="D26" s="352">
        <v>1450</v>
      </c>
      <c r="E26" s="198"/>
      <c r="F26" s="405"/>
      <c r="G26" s="51">
        <v>3</v>
      </c>
      <c r="H26" s="51">
        <v>73387</v>
      </c>
      <c r="I26" s="691" t="s">
        <v>472</v>
      </c>
      <c r="J26" s="352">
        <v>400</v>
      </c>
      <c r="K26" s="146"/>
      <c r="L26" s="405"/>
      <c r="M26" s="51">
        <v>3</v>
      </c>
      <c r="N26" s="51">
        <v>75451</v>
      </c>
      <c r="O26" s="691" t="s">
        <v>471</v>
      </c>
      <c r="P26" s="352">
        <v>1400</v>
      </c>
      <c r="Q26" s="198"/>
      <c r="R26" s="405"/>
      <c r="S26" s="51">
        <v>3</v>
      </c>
      <c r="T26" s="51">
        <v>74517</v>
      </c>
      <c r="U26" s="691" t="s">
        <v>475</v>
      </c>
      <c r="V26" s="352">
        <v>1700</v>
      </c>
      <c r="W26" s="198"/>
      <c r="X26" s="405"/>
      <c r="Y26" s="51">
        <v>3</v>
      </c>
      <c r="Z26" s="51"/>
      <c r="AA26" s="512"/>
      <c r="AB26" s="139"/>
      <c r="AC26" s="146"/>
      <c r="AD26" s="132"/>
      <c r="AE26" s="706"/>
    </row>
    <row r="27" spans="1:31" ht="16.2" customHeight="1">
      <c r="A27" s="51">
        <v>3</v>
      </c>
      <c r="B27" s="51"/>
      <c r="C27" s="691"/>
      <c r="D27" s="352"/>
      <c r="E27" s="198"/>
      <c r="F27" s="405"/>
      <c r="G27" s="51">
        <v>3</v>
      </c>
      <c r="H27" s="51">
        <v>73389</v>
      </c>
      <c r="I27" s="691" t="s">
        <v>470</v>
      </c>
      <c r="J27" s="352">
        <v>1300</v>
      </c>
      <c r="K27" s="146"/>
      <c r="L27" s="405"/>
      <c r="M27" s="51">
        <v>3</v>
      </c>
      <c r="N27" s="51"/>
      <c r="O27" s="691"/>
      <c r="P27" s="352"/>
      <c r="Q27" s="198"/>
      <c r="R27" s="405"/>
      <c r="S27" s="51">
        <v>3</v>
      </c>
      <c r="T27" s="51"/>
      <c r="U27" s="691"/>
      <c r="V27" s="352"/>
      <c r="W27" s="198"/>
      <c r="X27" s="405"/>
      <c r="Y27" s="51">
        <v>3</v>
      </c>
      <c r="Z27" s="51"/>
      <c r="AA27" s="512"/>
      <c r="AB27" s="139"/>
      <c r="AC27" s="146"/>
      <c r="AD27" s="132"/>
      <c r="AE27" s="706"/>
    </row>
    <row r="28" spans="1:31" ht="16.2" customHeight="1">
      <c r="A28" s="51">
        <v>3</v>
      </c>
      <c r="B28" s="51"/>
      <c r="C28" s="691"/>
      <c r="D28" s="352"/>
      <c r="E28" s="198"/>
      <c r="F28" s="405"/>
      <c r="G28" s="51">
        <v>3</v>
      </c>
      <c r="H28" s="51">
        <v>73391</v>
      </c>
      <c r="I28" s="691" t="s">
        <v>474</v>
      </c>
      <c r="J28" s="352">
        <v>900</v>
      </c>
      <c r="K28" s="146"/>
      <c r="L28" s="405"/>
      <c r="M28" s="51">
        <v>3</v>
      </c>
      <c r="N28" s="51"/>
      <c r="O28" s="691"/>
      <c r="P28" s="352"/>
      <c r="Q28" s="198"/>
      <c r="R28" s="405"/>
      <c r="S28" s="51">
        <v>3</v>
      </c>
      <c r="T28" s="51"/>
      <c r="U28" s="691"/>
      <c r="V28" s="493"/>
      <c r="W28" s="198"/>
      <c r="X28" s="405"/>
      <c r="Y28" s="51">
        <v>3</v>
      </c>
      <c r="Z28" s="51"/>
      <c r="AA28" s="512"/>
      <c r="AB28" s="139"/>
      <c r="AC28" s="146"/>
      <c r="AD28" s="132"/>
      <c r="AE28" s="706"/>
    </row>
    <row r="29" spans="1:31" ht="16.2" customHeight="1">
      <c r="A29" s="51">
        <v>3</v>
      </c>
      <c r="B29" s="51"/>
      <c r="C29" s="691"/>
      <c r="D29" s="352"/>
      <c r="E29" s="198"/>
      <c r="F29" s="405"/>
      <c r="G29" s="51">
        <v>3</v>
      </c>
      <c r="H29" s="51">
        <v>73393</v>
      </c>
      <c r="I29" s="691" t="s">
        <v>1638</v>
      </c>
      <c r="J29" s="352">
        <v>1350</v>
      </c>
      <c r="K29" s="146"/>
      <c r="L29" s="405"/>
      <c r="M29" s="51">
        <v>3</v>
      </c>
      <c r="N29" s="51"/>
      <c r="O29" s="692"/>
      <c r="P29" s="226"/>
      <c r="Q29" s="198"/>
      <c r="R29" s="157"/>
      <c r="S29" s="51">
        <v>3</v>
      </c>
      <c r="T29" s="51"/>
      <c r="U29" s="691"/>
      <c r="V29" s="352"/>
      <c r="W29" s="198"/>
      <c r="X29" s="405"/>
      <c r="Y29" s="51">
        <v>3</v>
      </c>
      <c r="Z29" s="51"/>
      <c r="AA29" s="512"/>
      <c r="AB29" s="139"/>
      <c r="AC29" s="146"/>
      <c r="AD29" s="132"/>
      <c r="AE29" s="706"/>
    </row>
    <row r="30" spans="1:31" ht="16.2" customHeight="1" thickBot="1">
      <c r="A30" s="51">
        <v>3</v>
      </c>
      <c r="B30" s="51"/>
      <c r="C30" s="512"/>
      <c r="D30" s="139"/>
      <c r="E30" s="146"/>
      <c r="F30" s="132"/>
      <c r="G30" s="51">
        <v>3</v>
      </c>
      <c r="H30" s="51">
        <v>73386</v>
      </c>
      <c r="I30" s="512" t="s">
        <v>1639</v>
      </c>
      <c r="J30" s="265">
        <v>900</v>
      </c>
      <c r="K30" s="146"/>
      <c r="L30" s="132"/>
      <c r="M30" s="51">
        <v>3</v>
      </c>
      <c r="N30" s="51"/>
      <c r="O30" s="512"/>
      <c r="P30" s="139"/>
      <c r="Q30" s="146"/>
      <c r="R30" s="132"/>
      <c r="S30" s="51">
        <v>3</v>
      </c>
      <c r="T30" s="51"/>
      <c r="U30" s="512"/>
      <c r="V30" s="139"/>
      <c r="W30" s="146"/>
      <c r="X30" s="132"/>
      <c r="Y30" s="51">
        <v>3</v>
      </c>
      <c r="Z30" s="51"/>
      <c r="AA30" s="520"/>
      <c r="AB30" s="208"/>
      <c r="AC30" s="138"/>
      <c r="AD30" s="133"/>
      <c r="AE30" s="706"/>
    </row>
    <row r="31" spans="1:31" ht="16.2" customHeight="1" thickTop="1">
      <c r="A31" s="51">
        <v>4</v>
      </c>
      <c r="B31" s="51"/>
      <c r="C31" s="523" t="s">
        <v>692</v>
      </c>
      <c r="D31" s="535">
        <f xml:space="preserve"> SUM(D23:D30)</f>
        <v>5450</v>
      </c>
      <c r="E31" s="28"/>
      <c r="F31" s="75">
        <f>SUM(F23:F30)</f>
        <v>0</v>
      </c>
      <c r="G31" s="51">
        <v>4</v>
      </c>
      <c r="H31" s="51"/>
      <c r="I31" s="523" t="s">
        <v>692</v>
      </c>
      <c r="J31" s="535">
        <f xml:space="preserve"> SUM(J23:J30)</f>
        <v>8600</v>
      </c>
      <c r="K31" s="28"/>
      <c r="L31" s="75">
        <f>SUM(L23:L30)</f>
        <v>0</v>
      </c>
      <c r="M31" s="51">
        <v>4</v>
      </c>
      <c r="N31" s="51"/>
      <c r="O31" s="523" t="s">
        <v>692</v>
      </c>
      <c r="P31" s="535">
        <f xml:space="preserve"> SUM(P23:P30)</f>
        <v>8600</v>
      </c>
      <c r="Q31" s="28"/>
      <c r="R31" s="75">
        <f>SUM(R23:R30)</f>
        <v>0</v>
      </c>
      <c r="S31" s="51">
        <v>4</v>
      </c>
      <c r="T31" s="51"/>
      <c r="U31" s="523" t="s">
        <v>692</v>
      </c>
      <c r="V31" s="535">
        <f xml:space="preserve"> SUM(V23:V30)</f>
        <v>10900</v>
      </c>
      <c r="W31" s="28"/>
      <c r="X31" s="75">
        <f>SUM(X23:X30)</f>
        <v>0</v>
      </c>
      <c r="Y31" s="51">
        <v>4</v>
      </c>
      <c r="Z31" s="51"/>
      <c r="AA31" s="523" t="s">
        <v>692</v>
      </c>
      <c r="AB31" s="535">
        <f>SUM(AB23:AB30)</f>
        <v>0</v>
      </c>
      <c r="AC31" s="28"/>
      <c r="AD31" s="92">
        <f>SUM(AD23:AD30)</f>
        <v>0</v>
      </c>
      <c r="AE31" s="524">
        <f>D31+J31+P31+V31+AB31</f>
        <v>33550</v>
      </c>
    </row>
    <row r="32" spans="1:31" ht="16.2" customHeight="1">
      <c r="A32" s="51"/>
      <c r="B32" s="51"/>
      <c r="C32" s="18"/>
      <c r="D32" s="20"/>
      <c r="F32" s="189"/>
      <c r="G32" s="51"/>
      <c r="H32" s="51"/>
      <c r="I32" s="18"/>
      <c r="J32" s="20"/>
      <c r="L32" s="189"/>
      <c r="M32" s="51"/>
      <c r="N32" s="51"/>
      <c r="O32" s="18"/>
      <c r="P32" s="20"/>
      <c r="R32" s="189"/>
      <c r="S32" s="51"/>
      <c r="T32" s="51"/>
      <c r="U32" s="18"/>
      <c r="V32" s="20"/>
      <c r="X32" s="189"/>
      <c r="Y32" s="51"/>
      <c r="Z32" s="51"/>
      <c r="AA32" s="18"/>
      <c r="AB32" s="20"/>
      <c r="AD32" s="527" t="s">
        <v>692</v>
      </c>
      <c r="AE32" s="93">
        <f>A北区折込部数+M北区折込部数+S北区折込部数+Y北区折込部数+AD31</f>
        <v>0</v>
      </c>
    </row>
    <row r="33" spans="1:31" ht="16.2" customHeight="1">
      <c r="A33" s="51">
        <v>2</v>
      </c>
      <c r="B33" s="488" t="s">
        <v>1441</v>
      </c>
      <c r="C33" s="46" t="s">
        <v>986</v>
      </c>
      <c r="F33" s="224"/>
      <c r="G33" s="51">
        <v>2</v>
      </c>
      <c r="H33" s="488" t="s">
        <v>1441</v>
      </c>
      <c r="I33" s="489"/>
      <c r="J33" s="489"/>
      <c r="K33" s="217"/>
      <c r="L33" s="224"/>
      <c r="M33" s="51">
        <v>2</v>
      </c>
      <c r="N33" s="488" t="s">
        <v>1441</v>
      </c>
      <c r="O33" s="489"/>
      <c r="P33" s="489"/>
      <c r="Q33" s="217"/>
      <c r="R33" s="489"/>
      <c r="S33" s="51">
        <v>2</v>
      </c>
      <c r="T33" s="488" t="s">
        <v>1441</v>
      </c>
      <c r="U33" s="489"/>
      <c r="V33" s="489"/>
      <c r="W33" s="217"/>
      <c r="X33" s="489"/>
      <c r="Y33" s="51">
        <v>2</v>
      </c>
      <c r="Z33" s="488" t="s">
        <v>1441</v>
      </c>
      <c r="AA33" s="489"/>
      <c r="AB33" s="217"/>
      <c r="AC33"/>
    </row>
    <row r="34" spans="1:31" ht="16.2" customHeight="1">
      <c r="A34" s="51">
        <v>3</v>
      </c>
      <c r="B34" s="51">
        <v>72403</v>
      </c>
      <c r="C34" s="441" t="s">
        <v>476</v>
      </c>
      <c r="D34" s="148">
        <v>650</v>
      </c>
      <c r="E34" s="177"/>
      <c r="F34" s="404"/>
      <c r="G34" s="51">
        <v>3</v>
      </c>
      <c r="H34" s="51">
        <v>73395</v>
      </c>
      <c r="I34" s="690" t="s">
        <v>476</v>
      </c>
      <c r="J34" s="714">
        <v>1000</v>
      </c>
      <c r="K34" s="162"/>
      <c r="L34" s="404"/>
      <c r="M34" s="51">
        <v>3</v>
      </c>
      <c r="N34" s="51">
        <v>75453</v>
      </c>
      <c r="O34" s="441" t="s">
        <v>476</v>
      </c>
      <c r="P34" s="714">
        <v>2700</v>
      </c>
      <c r="Q34" s="162"/>
      <c r="R34" s="404"/>
      <c r="S34" s="51">
        <v>3</v>
      </c>
      <c r="T34" s="51">
        <v>74521</v>
      </c>
      <c r="U34" s="441" t="s">
        <v>476</v>
      </c>
      <c r="V34" s="148">
        <v>2200</v>
      </c>
      <c r="W34" s="177"/>
      <c r="X34" s="404"/>
      <c r="Y34" s="51">
        <v>3</v>
      </c>
      <c r="Z34" s="51"/>
      <c r="AA34" s="709"/>
      <c r="AB34" s="710"/>
      <c r="AC34" s="162"/>
      <c r="AD34" s="160"/>
      <c r="AE34" s="704"/>
    </row>
    <row r="35" spans="1:31" ht="16.2" customHeight="1" thickBot="1">
      <c r="A35" s="51">
        <v>3</v>
      </c>
      <c r="B35" s="51"/>
      <c r="C35" s="512"/>
      <c r="D35" s="139"/>
      <c r="E35" s="146"/>
      <c r="F35" s="161"/>
      <c r="G35" s="51">
        <v>3</v>
      </c>
      <c r="H35" s="51"/>
      <c r="I35" s="701"/>
      <c r="J35" s="209"/>
      <c r="K35" s="253"/>
      <c r="L35" s="134"/>
      <c r="M35" s="51">
        <v>3</v>
      </c>
      <c r="N35" s="51"/>
      <c r="O35" s="701"/>
      <c r="P35" s="209"/>
      <c r="Q35" s="253"/>
      <c r="R35" s="134"/>
      <c r="S35" s="51">
        <v>3</v>
      </c>
      <c r="T35" s="51"/>
      <c r="U35" s="701"/>
      <c r="V35" s="209"/>
      <c r="W35" s="253"/>
      <c r="X35" s="134"/>
      <c r="Y35" s="51">
        <v>3</v>
      </c>
      <c r="Z35" s="51"/>
      <c r="AA35" s="701"/>
      <c r="AB35" s="209"/>
      <c r="AC35" s="253"/>
      <c r="AD35" s="258"/>
      <c r="AE35" s="711"/>
    </row>
    <row r="36" spans="1:31" ht="16.2" customHeight="1" thickTop="1">
      <c r="A36" s="51">
        <v>4</v>
      </c>
      <c r="B36" s="51"/>
      <c r="C36" s="523" t="s">
        <v>692</v>
      </c>
      <c r="D36" s="535">
        <f>SUM(D34:D35)</f>
        <v>650</v>
      </c>
      <c r="E36" s="28"/>
      <c r="F36" s="75">
        <f>SUM(F34:F35)</f>
        <v>0</v>
      </c>
      <c r="G36" s="51">
        <v>4</v>
      </c>
      <c r="H36" s="51"/>
      <c r="I36" s="712" t="s">
        <v>692</v>
      </c>
      <c r="J36" s="713">
        <f>SUM(J34:J35)</f>
        <v>1000</v>
      </c>
      <c r="K36" s="255"/>
      <c r="L36" s="256">
        <f>SUM(L34:L35)</f>
        <v>0</v>
      </c>
      <c r="M36" s="51">
        <v>4</v>
      </c>
      <c r="N36" s="51"/>
      <c r="O36" s="712" t="s">
        <v>692</v>
      </c>
      <c r="P36" s="713">
        <f>SUM(P34:P35)</f>
        <v>2700</v>
      </c>
      <c r="Q36" s="255"/>
      <c r="R36" s="256">
        <f>SUM(R34:R35)</f>
        <v>0</v>
      </c>
      <c r="S36" s="51">
        <v>4</v>
      </c>
      <c r="T36" s="51"/>
      <c r="U36" s="712" t="s">
        <v>692</v>
      </c>
      <c r="V36" s="713">
        <f>SUM(V34:V35)</f>
        <v>2200</v>
      </c>
      <c r="W36" s="255"/>
      <c r="X36" s="256">
        <f>SUM(X34:X35)</f>
        <v>0</v>
      </c>
      <c r="Y36" s="51">
        <v>4</v>
      </c>
      <c r="Z36" s="51"/>
      <c r="AA36" s="712" t="s">
        <v>692</v>
      </c>
      <c r="AB36" s="713">
        <f>SUM(AB34:AB35)</f>
        <v>0</v>
      </c>
      <c r="AC36" s="255"/>
      <c r="AD36" s="257">
        <f>SUM(AD34:AD35)</f>
        <v>0</v>
      </c>
      <c r="AE36" s="707">
        <f>D36+J36+P36+V36+AB36</f>
        <v>6550</v>
      </c>
    </row>
    <row r="37" spans="1:31" ht="16.2" customHeight="1">
      <c r="A37" s="51">
        <v>9</v>
      </c>
      <c r="B37" s="51"/>
      <c r="C37" s="13"/>
      <c r="D37" s="13"/>
      <c r="E37" s="13"/>
      <c r="F37" s="13"/>
      <c r="G37" s="51">
        <v>9</v>
      </c>
      <c r="H37" s="51"/>
      <c r="I37" s="13"/>
      <c r="K37" s="13"/>
      <c r="L37" s="13"/>
      <c r="M37" s="51">
        <v>9</v>
      </c>
      <c r="N37" s="51"/>
      <c r="O37" s="489"/>
      <c r="P37" s="489"/>
      <c r="Q37" s="217"/>
      <c r="R37" s="224"/>
      <c r="S37" s="51">
        <v>9</v>
      </c>
      <c r="T37" s="51"/>
      <c r="U37" s="489"/>
      <c r="V37" s="489"/>
      <c r="W37" s="217"/>
      <c r="X37" s="224"/>
      <c r="Y37" s="51">
        <v>9</v>
      </c>
      <c r="Z37" s="51"/>
      <c r="AA37" s="489"/>
      <c r="AB37" s="489"/>
      <c r="AC37" s="217"/>
      <c r="AD37" s="527" t="s">
        <v>692</v>
      </c>
      <c r="AE37" s="100">
        <f>A美原区折込部数+M美原区折込部数+S美原区折込部数+Y美原区折込部数+AD36</f>
        <v>0</v>
      </c>
    </row>
    <row r="38" spans="1:31" ht="16.2" customHeight="1">
      <c r="L38" s="224"/>
      <c r="M38" s="224"/>
      <c r="N38" s="224"/>
      <c r="O38" s="489"/>
      <c r="P38" s="489"/>
      <c r="Q38" s="217"/>
      <c r="R38" s="224"/>
      <c r="S38" s="224"/>
      <c r="T38" s="224"/>
      <c r="U38" s="489"/>
      <c r="V38" s="489"/>
      <c r="W38" s="217"/>
      <c r="X38" s="224"/>
      <c r="Y38" s="224"/>
      <c r="Z38" s="224"/>
      <c r="AA38" s="489"/>
      <c r="AB38" s="489"/>
      <c r="AC38" s="217"/>
      <c r="AD38" s="224"/>
      <c r="AE38" s="489"/>
    </row>
    <row r="39" spans="1:31" ht="16.2" customHeight="1">
      <c r="C39" s="489"/>
      <c r="D39" s="489"/>
      <c r="E39" s="217"/>
      <c r="F39" s="224"/>
      <c r="G39" s="224"/>
      <c r="H39" s="224"/>
      <c r="I39" s="18"/>
      <c r="J39" s="21"/>
      <c r="K39" s="217"/>
      <c r="L39" s="224"/>
      <c r="M39" s="224"/>
      <c r="N39" s="224"/>
      <c r="O39" s="489"/>
      <c r="P39" s="489"/>
      <c r="Q39" s="217"/>
      <c r="R39" s="224"/>
      <c r="S39" s="224"/>
      <c r="T39" s="224"/>
      <c r="U39" s="489"/>
      <c r="V39" s="489"/>
      <c r="W39" s="217"/>
      <c r="X39" s="224"/>
      <c r="Y39" s="224"/>
      <c r="Z39" s="224"/>
      <c r="AA39" s="489"/>
      <c r="AB39" s="489"/>
      <c r="AC39" s="217"/>
      <c r="AD39" s="224"/>
      <c r="AE39" s="489"/>
    </row>
    <row r="40" spans="1:31" ht="16.2" customHeight="1">
      <c r="C40" s="489"/>
      <c r="D40" s="489"/>
      <c r="E40" s="217"/>
      <c r="F40" s="224"/>
      <c r="G40" s="224"/>
      <c r="H40" s="224"/>
      <c r="I40" s="18"/>
      <c r="J40" s="21"/>
      <c r="K40" s="217"/>
      <c r="L40" s="224"/>
      <c r="M40" s="224"/>
      <c r="N40" s="224"/>
      <c r="O40" s="489"/>
      <c r="P40" s="489"/>
      <c r="Q40" s="217"/>
      <c r="R40" s="224"/>
      <c r="S40" s="224"/>
      <c r="T40" s="224"/>
      <c r="U40" s="489"/>
      <c r="V40" s="489"/>
      <c r="W40" s="217"/>
      <c r="X40" s="224"/>
      <c r="Y40" s="224"/>
      <c r="Z40" s="224"/>
      <c r="AA40" s="489"/>
      <c r="AB40" s="489"/>
      <c r="AC40" s="217"/>
      <c r="AD40" s="224"/>
      <c r="AE40" s="489"/>
    </row>
    <row r="41" spans="1:31" ht="16.2" customHeight="1">
      <c r="C41" s="489"/>
      <c r="D41" s="489"/>
      <c r="E41" s="217"/>
      <c r="F41" s="224"/>
      <c r="G41" s="224"/>
      <c r="H41" s="224"/>
      <c r="I41" s="18"/>
      <c r="J41" s="21"/>
      <c r="K41" s="217"/>
      <c r="L41" s="224"/>
      <c r="M41" s="224"/>
      <c r="N41" s="224"/>
      <c r="O41" s="489"/>
      <c r="P41" s="489"/>
      <c r="Q41" s="217"/>
      <c r="R41" s="224"/>
      <c r="S41" s="224"/>
      <c r="T41" s="224"/>
      <c r="U41" s="489"/>
      <c r="V41" s="489"/>
      <c r="W41" s="217"/>
      <c r="X41" s="224"/>
      <c r="Y41" s="224"/>
      <c r="Z41" s="224"/>
      <c r="AA41" s="489"/>
      <c r="AB41" s="489"/>
      <c r="AC41" s="217"/>
      <c r="AD41" s="224"/>
      <c r="AE41" s="489"/>
    </row>
    <row r="42" spans="1:31" ht="16.2" customHeight="1">
      <c r="C42" s="489"/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17"/>
      <c r="R42" s="224"/>
      <c r="S42" s="224"/>
      <c r="T42" s="224"/>
      <c r="U42" s="489"/>
      <c r="V42" s="489"/>
      <c r="W42" s="217"/>
      <c r="X42" s="224"/>
      <c r="Y42" s="224"/>
      <c r="Z42" s="224"/>
      <c r="AA42" s="489"/>
      <c r="AB42" s="489"/>
      <c r="AC42" s="217"/>
      <c r="AD42" s="224"/>
      <c r="AE42" s="489"/>
    </row>
    <row r="43" spans="1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17"/>
      <c r="R43" s="224"/>
      <c r="S43" s="224"/>
      <c r="T43" s="224"/>
      <c r="U43" s="489"/>
      <c r="V43" s="489"/>
      <c r="W43" s="217"/>
      <c r="X43" s="224"/>
      <c r="Y43" s="224"/>
      <c r="Z43" s="224"/>
      <c r="AA43" s="489"/>
      <c r="AB43" s="489"/>
      <c r="AC43" s="217"/>
      <c r="AD43" s="224"/>
      <c r="AE43" s="489"/>
    </row>
    <row r="44" spans="1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17"/>
      <c r="R44" s="224"/>
      <c r="S44" s="224"/>
      <c r="T44" s="224"/>
      <c r="U44" s="489"/>
      <c r="V44" s="489"/>
      <c r="W44" s="217"/>
      <c r="X44" s="224"/>
      <c r="Y44" s="224"/>
      <c r="Z44" s="224"/>
      <c r="AA44" s="489"/>
      <c r="AB44" s="489"/>
      <c r="AC44" s="217"/>
      <c r="AD44" s="224"/>
      <c r="AE44" s="489"/>
    </row>
    <row r="45" spans="1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17"/>
      <c r="R45" s="224"/>
      <c r="S45" s="224"/>
      <c r="T45" s="224"/>
      <c r="U45" s="489"/>
      <c r="V45" s="489"/>
      <c r="W45" s="217"/>
      <c r="X45" s="224"/>
      <c r="Y45" s="224"/>
      <c r="Z45" s="224"/>
      <c r="AA45" s="489"/>
      <c r="AB45" s="489"/>
      <c r="AC45" s="217"/>
      <c r="AD45" s="224"/>
      <c r="AE45" s="489"/>
    </row>
    <row r="46" spans="1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17"/>
      <c r="R46" s="224"/>
      <c r="S46" s="224"/>
      <c r="T46" s="224"/>
      <c r="U46" s="489"/>
      <c r="V46" s="489"/>
      <c r="W46" s="217"/>
      <c r="X46" s="224"/>
      <c r="Y46" s="224"/>
      <c r="Z46" s="224"/>
      <c r="AA46" s="489"/>
      <c r="AB46" s="489"/>
      <c r="AC46" s="217"/>
      <c r="AD46" s="224"/>
      <c r="AE46" s="489"/>
    </row>
    <row r="47" spans="1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17"/>
      <c r="R47" s="224"/>
      <c r="S47" s="224"/>
      <c r="T47" s="224"/>
      <c r="U47" s="489"/>
      <c r="V47" s="489"/>
      <c r="W47" s="217"/>
      <c r="X47" s="224"/>
      <c r="Y47" s="224"/>
      <c r="Z47" s="224"/>
      <c r="AA47" s="489"/>
      <c r="AB47" s="489"/>
      <c r="AC47" s="217"/>
      <c r="AD47" s="224"/>
      <c r="AE47" s="489"/>
    </row>
    <row r="48" spans="1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17"/>
      <c r="R48" s="224"/>
      <c r="S48" s="224"/>
      <c r="T48" s="224"/>
      <c r="U48" s="489"/>
      <c r="V48" s="489"/>
      <c r="W48" s="217"/>
      <c r="X48" s="224"/>
      <c r="Y48" s="224"/>
      <c r="Z48" s="224"/>
      <c r="AA48" s="489"/>
      <c r="AB48" s="489"/>
      <c r="AC48" s="217"/>
      <c r="AD48" s="224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17"/>
      <c r="R49" s="224"/>
      <c r="S49" s="224"/>
      <c r="T49" s="224"/>
      <c r="U49" s="489"/>
      <c r="V49" s="489"/>
      <c r="W49" s="217"/>
      <c r="X49" s="224"/>
      <c r="Y49" s="224"/>
      <c r="Z49" s="224"/>
      <c r="AA49" s="489"/>
      <c r="AB49" s="489"/>
      <c r="AC49" s="217"/>
      <c r="AD49" s="224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17"/>
      <c r="R50" s="224"/>
      <c r="S50" s="224"/>
      <c r="T50" s="224"/>
      <c r="U50" s="489"/>
      <c r="V50" s="489"/>
      <c r="W50" s="217"/>
      <c r="X50" s="224"/>
      <c r="Y50" s="224"/>
      <c r="Z50" s="224"/>
      <c r="AA50" s="489"/>
      <c r="AB50" s="489"/>
      <c r="AC50" s="217"/>
      <c r="AD50" s="224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17"/>
      <c r="R51" s="224"/>
      <c r="S51" s="224"/>
      <c r="T51" s="224"/>
      <c r="U51" s="489"/>
      <c r="V51" s="489"/>
      <c r="W51" s="217"/>
      <c r="X51" s="224"/>
      <c r="Y51" s="224"/>
      <c r="Z51" s="224"/>
      <c r="AA51" s="489"/>
      <c r="AB51" s="489"/>
      <c r="AC51" s="217"/>
      <c r="AD51" s="224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17"/>
      <c r="R52" s="224"/>
      <c r="S52" s="224"/>
      <c r="T52" s="224"/>
      <c r="U52" s="489"/>
      <c r="V52" s="489"/>
      <c r="W52" s="217"/>
      <c r="X52" s="224"/>
      <c r="Y52" s="224"/>
      <c r="Z52" s="224"/>
      <c r="AA52" s="489"/>
      <c r="AB52" s="489"/>
      <c r="AC52" s="217"/>
      <c r="AD52" s="224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17"/>
      <c r="R53" s="224"/>
      <c r="S53" s="224"/>
      <c r="T53" s="224"/>
      <c r="U53" s="489"/>
      <c r="V53" s="489"/>
      <c r="W53" s="217"/>
      <c r="X53" s="224"/>
      <c r="Y53" s="224"/>
      <c r="Z53" s="224"/>
      <c r="AA53" s="489"/>
      <c r="AB53" s="489"/>
      <c r="AC53" s="217"/>
      <c r="AD53" s="224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17"/>
      <c r="R54" s="224"/>
      <c r="S54" s="224"/>
      <c r="T54" s="224"/>
      <c r="U54" s="489"/>
      <c r="V54" s="489"/>
      <c r="W54" s="217"/>
      <c r="X54" s="224"/>
      <c r="Y54" s="224"/>
      <c r="Z54" s="224"/>
      <c r="AA54" s="489"/>
      <c r="AB54" s="489"/>
      <c r="AC54" s="217"/>
      <c r="AD54" s="224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17"/>
      <c r="R55" s="224"/>
      <c r="S55" s="224"/>
      <c r="T55" s="224"/>
      <c r="U55" s="489"/>
      <c r="V55" s="489"/>
      <c r="W55" s="217"/>
      <c r="X55" s="224"/>
      <c r="Y55" s="224"/>
      <c r="Z55" s="224"/>
      <c r="AA55" s="489"/>
      <c r="AB55" s="489"/>
      <c r="AC55" s="217"/>
      <c r="AD55" s="224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17"/>
      <c r="R56" s="224"/>
      <c r="S56" s="224"/>
      <c r="T56" s="224"/>
      <c r="U56" s="489"/>
      <c r="V56" s="489"/>
      <c r="W56" s="217"/>
      <c r="X56" s="224"/>
      <c r="Y56" s="224"/>
      <c r="Z56" s="224"/>
      <c r="AA56" s="489"/>
      <c r="AB56" s="489"/>
      <c r="AC56" s="217"/>
      <c r="AD56" s="224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17"/>
      <c r="R57" s="224"/>
      <c r="S57" s="224"/>
      <c r="T57" s="224"/>
      <c r="U57" s="489"/>
      <c r="V57" s="489"/>
      <c r="W57" s="217"/>
      <c r="X57" s="224"/>
      <c r="Y57" s="224"/>
      <c r="Z57" s="224"/>
      <c r="AA57" s="489"/>
      <c r="AB57" s="489"/>
      <c r="AC57" s="217"/>
      <c r="AD57" s="224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17"/>
      <c r="R58" s="224"/>
      <c r="S58" s="224"/>
      <c r="T58" s="224"/>
      <c r="U58" s="489"/>
      <c r="V58" s="489"/>
      <c r="W58" s="217"/>
      <c r="X58" s="224"/>
      <c r="Y58" s="224"/>
      <c r="Z58" s="224"/>
      <c r="AA58" s="489"/>
      <c r="AB58" s="489"/>
      <c r="AC58" s="217"/>
      <c r="AD58" s="224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17"/>
      <c r="R59" s="224"/>
      <c r="S59" s="224"/>
      <c r="T59" s="224"/>
      <c r="U59" s="489"/>
      <c r="V59" s="489"/>
      <c r="W59" s="217"/>
      <c r="X59" s="224"/>
      <c r="Y59" s="224"/>
      <c r="Z59" s="224"/>
      <c r="AA59" s="489"/>
      <c r="AB59" s="489"/>
      <c r="AC59" s="217"/>
      <c r="AD59" s="224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17"/>
      <c r="R60" s="224"/>
      <c r="S60" s="224"/>
      <c r="T60" s="224"/>
      <c r="U60" s="489"/>
      <c r="V60" s="489"/>
      <c r="W60" s="217"/>
      <c r="X60" s="224"/>
      <c r="Y60" s="224"/>
      <c r="Z60" s="224"/>
      <c r="AA60" s="489"/>
      <c r="AB60" s="489"/>
      <c r="AC60" s="217"/>
      <c r="AD60" s="224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17"/>
      <c r="R61" s="224"/>
      <c r="S61" s="224"/>
      <c r="T61" s="224"/>
      <c r="U61" s="489"/>
      <c r="V61" s="489"/>
      <c r="W61" s="217"/>
      <c r="X61" s="224"/>
      <c r="Y61" s="224"/>
      <c r="Z61" s="224"/>
      <c r="AA61" s="489"/>
      <c r="AB61" s="489"/>
      <c r="AC61" s="217"/>
      <c r="AD61" s="224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17"/>
      <c r="R62" s="224"/>
      <c r="S62" s="224"/>
      <c r="T62" s="224"/>
      <c r="U62" s="489"/>
      <c r="V62" s="489"/>
      <c r="W62" s="217"/>
      <c r="X62" s="224"/>
      <c r="Y62" s="224"/>
      <c r="Z62" s="224"/>
      <c r="AA62" s="489"/>
      <c r="AB62" s="489"/>
      <c r="AC62" s="217"/>
      <c r="AD62" s="224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17"/>
      <c r="R63" s="224"/>
      <c r="S63" s="224"/>
      <c r="T63" s="224"/>
      <c r="U63" s="489"/>
      <c r="V63" s="489"/>
      <c r="W63" s="217"/>
      <c r="X63" s="224"/>
      <c r="Y63" s="224"/>
      <c r="Z63" s="224"/>
      <c r="AA63" s="489"/>
      <c r="AB63" s="489"/>
      <c r="AC63" s="217"/>
      <c r="AD63" s="224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17"/>
      <c r="R64" s="224"/>
      <c r="S64" s="224"/>
      <c r="T64" s="224"/>
      <c r="U64" s="489"/>
      <c r="V64" s="489"/>
      <c r="W64" s="217"/>
      <c r="X64" s="224"/>
      <c r="Y64" s="224"/>
      <c r="Z64" s="224"/>
      <c r="AA64" s="489"/>
      <c r="AB64" s="489"/>
      <c r="AC64" s="217"/>
      <c r="AD64" s="224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17"/>
      <c r="R65" s="224"/>
      <c r="S65" s="224"/>
      <c r="T65" s="224"/>
      <c r="U65" s="489"/>
      <c r="V65" s="489"/>
      <c r="W65" s="217"/>
      <c r="X65" s="224"/>
      <c r="Y65" s="224"/>
      <c r="Z65" s="224"/>
      <c r="AA65" s="489"/>
      <c r="AB65" s="489"/>
      <c r="AC65" s="217"/>
      <c r="AD65" s="224"/>
      <c r="AE65" s="489"/>
    </row>
    <row r="66" spans="3:31" ht="16.2" customHeight="1">
      <c r="C66" s="489"/>
      <c r="D66" s="489"/>
      <c r="E66" s="217"/>
      <c r="F66" s="224"/>
      <c r="G66" s="224"/>
      <c r="H66" s="224"/>
      <c r="I66" s="489"/>
      <c r="J66" s="489"/>
      <c r="K66" s="217"/>
      <c r="L66" s="224"/>
      <c r="M66" s="224"/>
      <c r="N66" s="224"/>
      <c r="O66" s="489"/>
      <c r="P66" s="489"/>
      <c r="Q66" s="217"/>
      <c r="R66" s="224"/>
      <c r="S66" s="224"/>
      <c r="T66" s="224"/>
      <c r="U66" s="489"/>
      <c r="V66" s="489"/>
      <c r="W66" s="217"/>
      <c r="X66" s="224"/>
      <c r="Y66" s="224"/>
      <c r="Z66" s="224"/>
      <c r="AA66" s="489"/>
      <c r="AB66" s="489"/>
      <c r="AC66" s="217"/>
      <c r="AD66" s="224"/>
      <c r="AE66" s="489"/>
    </row>
    <row r="67" spans="3:31" ht="16.2" customHeight="1">
      <c r="C67" s="489"/>
      <c r="D67" s="489"/>
      <c r="E67" s="217"/>
      <c r="F67" s="224"/>
      <c r="G67" s="224"/>
      <c r="H67" s="224"/>
      <c r="I67" s="489"/>
      <c r="J67" s="489"/>
      <c r="K67" s="217"/>
      <c r="L67" s="224"/>
      <c r="M67" s="224"/>
      <c r="N67" s="224"/>
      <c r="O67" s="489"/>
      <c r="P67" s="489"/>
      <c r="Q67" s="217"/>
      <c r="R67" s="224"/>
      <c r="S67" s="224"/>
      <c r="T67" s="224"/>
      <c r="U67" s="489"/>
      <c r="V67" s="489"/>
      <c r="W67" s="217"/>
      <c r="X67" s="224"/>
      <c r="Y67" s="224"/>
      <c r="Z67" s="224"/>
      <c r="AA67" s="489"/>
      <c r="AB67" s="489"/>
      <c r="AC67" s="217"/>
      <c r="AD67" s="224"/>
      <c r="AE67" s="489"/>
    </row>
    <row r="68" spans="3:31" ht="16.2" customHeight="1">
      <c r="C68" s="489"/>
      <c r="D68" s="489"/>
      <c r="E68" s="217"/>
      <c r="F68" s="224"/>
      <c r="G68" s="224"/>
      <c r="H68" s="224"/>
      <c r="I68" s="489"/>
      <c r="J68" s="489"/>
      <c r="K68" s="217"/>
      <c r="L68" s="224"/>
      <c r="M68" s="224"/>
      <c r="N68" s="224"/>
      <c r="O68" s="489"/>
      <c r="P68" s="489"/>
      <c r="Q68" s="217"/>
      <c r="R68" s="224"/>
      <c r="S68" s="224"/>
      <c r="T68" s="224"/>
      <c r="U68" s="489"/>
      <c r="V68" s="489"/>
      <c r="W68" s="217"/>
      <c r="X68" s="224"/>
      <c r="Y68" s="224"/>
      <c r="Z68" s="224"/>
      <c r="AA68" s="489"/>
      <c r="AB68" s="489"/>
      <c r="AC68" s="217"/>
      <c r="AD68" s="224"/>
      <c r="AE68" s="489"/>
    </row>
    <row r="69" spans="3:31" ht="16.2" customHeight="1">
      <c r="C69" s="489"/>
      <c r="D69" s="489"/>
      <c r="E69" s="217"/>
      <c r="F69" s="224"/>
      <c r="G69" s="224"/>
      <c r="H69" s="224"/>
      <c r="I69" s="489"/>
      <c r="J69" s="489"/>
      <c r="K69" s="217"/>
      <c r="L69" s="224"/>
      <c r="M69" s="224"/>
      <c r="N69" s="224"/>
      <c r="O69" s="489"/>
      <c r="P69" s="489"/>
      <c r="Q69" s="217"/>
      <c r="R69" s="224"/>
      <c r="S69" s="224"/>
      <c r="T69" s="224"/>
      <c r="U69" s="489"/>
      <c r="V69" s="489"/>
      <c r="W69" s="217"/>
      <c r="X69" s="224"/>
      <c r="Y69" s="224"/>
      <c r="Z69" s="224"/>
      <c r="AA69" s="489"/>
      <c r="AB69" s="489"/>
      <c r="AC69" s="217"/>
      <c r="AD69" s="224"/>
      <c r="AE69" s="489"/>
    </row>
    <row r="70" spans="3:31" ht="16.2" customHeight="1">
      <c r="C70" s="489"/>
      <c r="D70" s="489"/>
      <c r="E70" s="217"/>
      <c r="F70" s="224"/>
      <c r="G70" s="224"/>
      <c r="H70" s="224"/>
      <c r="I70" s="489"/>
      <c r="J70" s="489"/>
      <c r="K70" s="217"/>
      <c r="L70" s="224"/>
      <c r="M70" s="224"/>
      <c r="N70" s="224"/>
      <c r="O70" s="489"/>
      <c r="P70" s="489"/>
      <c r="Q70" s="217"/>
      <c r="R70" s="224"/>
      <c r="S70" s="224"/>
      <c r="T70" s="224"/>
      <c r="U70" s="489"/>
      <c r="V70" s="489"/>
      <c r="W70" s="217"/>
      <c r="X70" s="224"/>
      <c r="Y70" s="224"/>
      <c r="Z70" s="224"/>
      <c r="AA70" s="489"/>
      <c r="AB70" s="489"/>
      <c r="AC70" s="217"/>
      <c r="AD70" s="224"/>
      <c r="AE70" s="489"/>
    </row>
    <row r="71" spans="3:31" ht="16.2" customHeight="1">
      <c r="C71" s="489"/>
      <c r="D71" s="489"/>
      <c r="E71" s="217"/>
      <c r="F71" s="224"/>
      <c r="G71" s="224"/>
      <c r="H71" s="224"/>
      <c r="I71" s="489"/>
      <c r="J71" s="489"/>
      <c r="K71" s="217"/>
      <c r="L71" s="224"/>
      <c r="M71" s="224"/>
      <c r="N71" s="224"/>
      <c r="O71" s="489"/>
      <c r="P71" s="489"/>
      <c r="Q71" s="217"/>
      <c r="R71" s="224"/>
      <c r="S71" s="224"/>
      <c r="T71" s="224"/>
      <c r="U71" s="489"/>
      <c r="V71" s="489"/>
      <c r="W71" s="217"/>
      <c r="X71" s="224"/>
      <c r="Y71" s="224"/>
      <c r="Z71" s="224"/>
      <c r="AA71" s="489"/>
      <c r="AB71" s="489"/>
      <c r="AC71" s="217"/>
      <c r="AD71" s="224"/>
      <c r="AE71" s="489"/>
    </row>
    <row r="72" spans="3:31" ht="16.2" customHeight="1">
      <c r="C72" s="489"/>
      <c r="D72" s="489"/>
      <c r="E72" s="217"/>
      <c r="F72" s="224"/>
      <c r="G72" s="224"/>
      <c r="H72" s="224"/>
      <c r="I72" s="489"/>
      <c r="J72" s="489"/>
      <c r="K72" s="217"/>
      <c r="L72" s="224"/>
      <c r="M72" s="224"/>
      <c r="N72" s="224"/>
      <c r="O72" s="489"/>
      <c r="P72" s="489"/>
      <c r="Q72" s="217"/>
      <c r="R72" s="224"/>
      <c r="S72" s="224"/>
      <c r="T72" s="224"/>
      <c r="U72" s="489"/>
      <c r="V72" s="489"/>
      <c r="W72" s="217"/>
      <c r="X72" s="224"/>
      <c r="Y72" s="224"/>
      <c r="Z72" s="224"/>
      <c r="AA72" s="489"/>
      <c r="AB72" s="489"/>
      <c r="AC72" s="217"/>
      <c r="AD72" s="224"/>
      <c r="AE72" s="489"/>
    </row>
    <row r="73" spans="3:31" ht="16.2" customHeight="1">
      <c r="C73" s="489"/>
      <c r="D73" s="489"/>
      <c r="E73" s="217"/>
      <c r="F73" s="224"/>
      <c r="G73" s="224"/>
      <c r="H73" s="224"/>
      <c r="I73" s="489"/>
      <c r="J73" s="489"/>
      <c r="K73" s="217"/>
      <c r="L73" s="224"/>
      <c r="M73" s="224"/>
      <c r="N73" s="224"/>
      <c r="O73" s="489"/>
      <c r="P73" s="489"/>
      <c r="Q73" s="217"/>
      <c r="R73" s="224"/>
      <c r="S73" s="224"/>
      <c r="T73" s="224"/>
      <c r="U73" s="489"/>
      <c r="V73" s="489"/>
      <c r="W73" s="217"/>
      <c r="X73" s="224"/>
      <c r="Y73" s="224"/>
      <c r="Z73" s="224"/>
      <c r="AA73" s="489"/>
      <c r="AB73" s="489"/>
      <c r="AC73" s="217"/>
      <c r="AD73" s="224"/>
      <c r="AE73" s="489"/>
    </row>
    <row r="74" spans="3:31" ht="16.2" customHeight="1">
      <c r="C74" s="489"/>
      <c r="D74" s="489"/>
      <c r="E74" s="217"/>
      <c r="F74" s="224"/>
      <c r="G74" s="224"/>
      <c r="H74" s="224"/>
      <c r="I74" s="489"/>
      <c r="J74" s="489"/>
      <c r="K74" s="217"/>
      <c r="L74" s="224"/>
      <c r="M74" s="224"/>
      <c r="N74" s="224"/>
      <c r="O74" s="489"/>
      <c r="P74" s="489"/>
      <c r="Q74" s="217"/>
      <c r="R74" s="224"/>
      <c r="S74" s="224"/>
      <c r="T74" s="224"/>
      <c r="U74" s="489"/>
      <c r="V74" s="489"/>
      <c r="W74" s="217"/>
      <c r="X74" s="224"/>
      <c r="Y74" s="224"/>
      <c r="Z74" s="224"/>
      <c r="AA74" s="489"/>
      <c r="AB74" s="489"/>
      <c r="AC74" s="217"/>
      <c r="AD74" s="224"/>
      <c r="AE74" s="489"/>
    </row>
    <row r="75" spans="3:31" ht="16.2" customHeight="1">
      <c r="C75" s="489"/>
      <c r="D75" s="489"/>
      <c r="E75" s="217"/>
      <c r="F75" s="224"/>
      <c r="G75" s="224"/>
      <c r="H75" s="224"/>
      <c r="I75" s="489"/>
      <c r="J75" s="489"/>
      <c r="K75" s="217"/>
      <c r="L75" s="224"/>
      <c r="M75" s="224"/>
      <c r="N75" s="224"/>
      <c r="O75" s="489"/>
      <c r="P75" s="489"/>
      <c r="Q75" s="217"/>
      <c r="R75" s="224"/>
      <c r="S75" s="224"/>
      <c r="T75" s="224"/>
      <c r="U75" s="489"/>
      <c r="V75" s="489"/>
      <c r="W75" s="217"/>
      <c r="X75" s="224"/>
      <c r="Y75" s="224"/>
      <c r="Z75" s="224"/>
      <c r="AA75" s="489"/>
      <c r="AB75" s="489"/>
      <c r="AC75" s="217"/>
      <c r="AD75" s="224"/>
      <c r="AE75" s="489"/>
    </row>
    <row r="76" spans="3:31" ht="16.2" customHeight="1">
      <c r="C76" s="489"/>
      <c r="D76" s="489"/>
      <c r="E76" s="217"/>
      <c r="F76" s="224"/>
      <c r="G76" s="224"/>
      <c r="H76" s="224"/>
      <c r="I76" s="489"/>
      <c r="J76" s="489"/>
      <c r="K76" s="217"/>
      <c r="L76" s="224"/>
      <c r="M76" s="224"/>
      <c r="N76" s="224"/>
      <c r="O76" s="489"/>
      <c r="P76" s="489"/>
      <c r="Q76" s="217"/>
      <c r="R76" s="224"/>
      <c r="S76" s="224"/>
      <c r="T76" s="224"/>
      <c r="U76" s="489"/>
      <c r="V76" s="489"/>
      <c r="W76" s="217"/>
      <c r="X76" s="224"/>
      <c r="Y76" s="224"/>
      <c r="Z76" s="224"/>
      <c r="AA76" s="489"/>
      <c r="AB76" s="489"/>
      <c r="AC76" s="217"/>
      <c r="AD76" s="224"/>
      <c r="AE76" s="489"/>
    </row>
    <row r="77" spans="3:31" ht="16.2" customHeight="1">
      <c r="C77" s="489"/>
      <c r="D77" s="489"/>
      <c r="E77" s="217"/>
      <c r="F77" s="224"/>
      <c r="G77" s="224"/>
      <c r="H77" s="224"/>
      <c r="I77" s="489"/>
      <c r="J77" s="489"/>
      <c r="K77" s="217"/>
      <c r="L77" s="224"/>
      <c r="M77" s="224"/>
      <c r="N77" s="224"/>
      <c r="O77" s="489"/>
      <c r="P77" s="489"/>
      <c r="Q77" s="217"/>
      <c r="R77" s="224"/>
      <c r="S77" s="224"/>
      <c r="T77" s="224"/>
      <c r="U77" s="489"/>
      <c r="V77" s="489"/>
      <c r="W77" s="217"/>
      <c r="X77" s="224"/>
      <c r="Y77" s="224"/>
      <c r="Z77" s="224"/>
      <c r="AA77" s="489"/>
      <c r="AB77" s="489"/>
      <c r="AC77" s="217"/>
      <c r="AD77" s="224"/>
      <c r="AE77" s="489"/>
    </row>
    <row r="78" spans="3:31" ht="16.2" customHeight="1">
      <c r="C78" s="489"/>
      <c r="D78" s="489"/>
      <c r="E78" s="217"/>
      <c r="F78" s="224"/>
      <c r="G78" s="224"/>
      <c r="H78" s="224"/>
      <c r="I78" s="489"/>
      <c r="J78" s="489"/>
      <c r="K78" s="217"/>
      <c r="L78" s="224"/>
      <c r="M78" s="224"/>
      <c r="N78" s="224"/>
      <c r="O78" s="489"/>
      <c r="P78" s="489"/>
      <c r="Q78" s="217"/>
      <c r="R78" s="224"/>
      <c r="S78" s="224"/>
      <c r="T78" s="224"/>
      <c r="U78" s="489"/>
      <c r="V78" s="489"/>
      <c r="W78" s="217"/>
      <c r="X78" s="224"/>
      <c r="Y78" s="224"/>
      <c r="Z78" s="224"/>
      <c r="AA78" s="489"/>
      <c r="AB78" s="489"/>
      <c r="AC78" s="217"/>
      <c r="AD78" s="224"/>
      <c r="AE78" s="489"/>
    </row>
    <row r="79" spans="3:31" ht="16.2" customHeight="1">
      <c r="C79" s="489"/>
      <c r="D79" s="489"/>
      <c r="E79" s="217"/>
      <c r="F79" s="224"/>
      <c r="G79" s="224"/>
      <c r="H79" s="224"/>
      <c r="I79" s="489"/>
      <c r="J79" s="489"/>
      <c r="K79" s="217"/>
      <c r="L79" s="224"/>
      <c r="M79" s="224"/>
      <c r="N79" s="224"/>
      <c r="O79" s="489"/>
      <c r="P79" s="489"/>
      <c r="Q79" s="217"/>
      <c r="R79" s="224"/>
      <c r="S79" s="224"/>
      <c r="T79" s="224"/>
      <c r="U79" s="489"/>
      <c r="V79" s="489"/>
      <c r="W79" s="217"/>
      <c r="X79" s="224"/>
      <c r="Y79" s="224"/>
      <c r="Z79" s="224"/>
      <c r="AA79" s="489"/>
      <c r="AB79" s="489"/>
      <c r="AC79" s="217"/>
      <c r="AD79" s="224"/>
      <c r="AE79" s="489"/>
    </row>
    <row r="80" spans="3:31" ht="16.2" customHeight="1">
      <c r="C80" s="489"/>
      <c r="D80" s="489"/>
      <c r="E80" s="217"/>
      <c r="F80" s="224"/>
      <c r="G80" s="224"/>
      <c r="H80" s="224"/>
      <c r="I80" s="489"/>
      <c r="J80" s="489"/>
      <c r="K80" s="217"/>
      <c r="L80" s="224"/>
      <c r="M80" s="224"/>
      <c r="N80" s="224"/>
      <c r="O80" s="489"/>
      <c r="P80" s="489"/>
      <c r="Q80" s="217"/>
      <c r="R80" s="224"/>
      <c r="S80" s="224"/>
      <c r="T80" s="224"/>
      <c r="U80" s="489"/>
      <c r="V80" s="489"/>
      <c r="W80" s="217"/>
      <c r="X80" s="224"/>
      <c r="Y80" s="224"/>
      <c r="Z80" s="224"/>
      <c r="AA80" s="489"/>
      <c r="AB80" s="489"/>
      <c r="AC80" s="217"/>
      <c r="AD80" s="224"/>
      <c r="AE80" s="489"/>
    </row>
    <row r="81" spans="3:31" ht="16.2" customHeight="1">
      <c r="C81" s="489"/>
      <c r="D81" s="489"/>
      <c r="E81" s="217"/>
      <c r="F81" s="224"/>
      <c r="G81" s="224"/>
      <c r="H81" s="224"/>
      <c r="I81" s="489"/>
      <c r="J81" s="489"/>
      <c r="K81" s="217"/>
      <c r="L81" s="224"/>
      <c r="M81" s="224"/>
      <c r="N81" s="224"/>
      <c r="O81" s="489"/>
      <c r="P81" s="489"/>
      <c r="Q81" s="217"/>
      <c r="R81" s="224"/>
      <c r="S81" s="224"/>
      <c r="T81" s="224"/>
      <c r="U81" s="489"/>
      <c r="V81" s="489"/>
      <c r="W81" s="217"/>
      <c r="X81" s="224"/>
      <c r="Y81" s="224"/>
      <c r="Z81" s="224"/>
      <c r="AA81" s="489"/>
      <c r="AB81" s="489"/>
      <c r="AC81" s="217"/>
      <c r="AD81" s="224"/>
      <c r="AE81" s="489"/>
    </row>
    <row r="82" spans="3:31" ht="16.2" customHeight="1">
      <c r="C82" s="489"/>
      <c r="D82" s="489"/>
      <c r="E82" s="217"/>
      <c r="F82" s="224"/>
      <c r="G82" s="224"/>
      <c r="H82" s="224"/>
      <c r="I82" s="489"/>
      <c r="J82" s="489"/>
      <c r="K82" s="217"/>
      <c r="L82" s="224"/>
      <c r="M82" s="224"/>
      <c r="N82" s="224"/>
      <c r="O82" s="489"/>
      <c r="P82" s="489"/>
      <c r="Q82" s="217"/>
      <c r="R82" s="224"/>
      <c r="S82" s="224"/>
      <c r="T82" s="224"/>
      <c r="U82" s="489"/>
      <c r="V82" s="489"/>
      <c r="W82" s="217"/>
      <c r="X82" s="224"/>
      <c r="Y82" s="224"/>
      <c r="Z82" s="224"/>
      <c r="AA82" s="489"/>
      <c r="AB82" s="489"/>
      <c r="AC82" s="217"/>
      <c r="AD82" s="224"/>
      <c r="AE82" s="489"/>
    </row>
    <row r="83" spans="3:31" ht="16.2" customHeight="1">
      <c r="C83" s="489"/>
      <c r="D83" s="489"/>
      <c r="E83" s="217"/>
      <c r="F83" s="224"/>
      <c r="G83" s="224"/>
      <c r="H83" s="224"/>
      <c r="I83" s="489"/>
      <c r="J83" s="489"/>
      <c r="K83" s="217"/>
      <c r="L83" s="224"/>
      <c r="M83" s="224"/>
      <c r="N83" s="224"/>
      <c r="O83" s="489"/>
      <c r="P83" s="489"/>
      <c r="Q83" s="217"/>
      <c r="R83" s="224"/>
      <c r="S83" s="224"/>
      <c r="T83" s="224"/>
      <c r="U83" s="489"/>
      <c r="V83" s="489"/>
      <c r="W83" s="217"/>
      <c r="X83" s="224"/>
      <c r="Y83" s="224"/>
      <c r="Z83" s="224"/>
      <c r="AA83" s="489"/>
      <c r="AB83" s="489"/>
      <c r="AC83" s="217"/>
      <c r="AD83" s="224"/>
      <c r="AE83" s="489"/>
    </row>
    <row r="84" spans="3:31" ht="16.2" customHeight="1">
      <c r="C84" s="489"/>
      <c r="D84" s="489"/>
      <c r="E84" s="217"/>
      <c r="F84" s="224"/>
      <c r="G84" s="224"/>
      <c r="H84" s="224"/>
      <c r="I84" s="489"/>
      <c r="J84" s="489"/>
      <c r="K84" s="217"/>
      <c r="L84" s="224"/>
      <c r="M84" s="224"/>
      <c r="N84" s="224"/>
      <c r="O84" s="489"/>
      <c r="P84" s="489"/>
      <c r="Q84" s="217"/>
      <c r="R84" s="224"/>
      <c r="S84" s="224"/>
      <c r="T84" s="224"/>
      <c r="U84" s="489"/>
      <c r="V84" s="489"/>
      <c r="W84" s="217"/>
      <c r="X84" s="224"/>
      <c r="Y84" s="224"/>
      <c r="Z84" s="224"/>
      <c r="AA84" s="489"/>
      <c r="AB84" s="489"/>
      <c r="AC84" s="217"/>
      <c r="AD84" s="224"/>
      <c r="AE84" s="489"/>
    </row>
    <row r="85" spans="3:31" ht="16.2" customHeight="1">
      <c r="C85" s="489"/>
      <c r="D85" s="489"/>
      <c r="E85" s="217"/>
      <c r="F85" s="224"/>
      <c r="G85" s="224"/>
      <c r="H85" s="224"/>
      <c r="I85" s="489"/>
      <c r="J85" s="489"/>
      <c r="K85" s="217"/>
      <c r="L85" s="224"/>
      <c r="M85" s="224"/>
      <c r="N85" s="224"/>
      <c r="O85" s="489"/>
      <c r="P85" s="489"/>
      <c r="Q85" s="217"/>
      <c r="R85" s="224"/>
      <c r="S85" s="224"/>
      <c r="T85" s="224"/>
      <c r="U85" s="489"/>
      <c r="V85" s="489"/>
      <c r="W85" s="217"/>
      <c r="X85" s="224"/>
      <c r="Y85" s="224"/>
      <c r="Z85" s="224"/>
      <c r="AA85" s="489"/>
      <c r="AB85" s="489"/>
      <c r="AC85" s="217"/>
      <c r="AD85" s="224"/>
      <c r="AE85" s="489"/>
    </row>
    <row r="86" spans="3:31" ht="16.2" customHeight="1">
      <c r="C86" s="489"/>
      <c r="D86" s="489"/>
      <c r="E86" s="217"/>
      <c r="F86" s="224"/>
      <c r="G86" s="224"/>
      <c r="H86" s="224"/>
      <c r="I86" s="489"/>
      <c r="J86" s="489"/>
      <c r="K86" s="217"/>
      <c r="L86" s="224"/>
      <c r="M86" s="224"/>
      <c r="N86" s="224"/>
      <c r="O86" s="489"/>
      <c r="P86" s="489"/>
      <c r="Q86" s="217"/>
      <c r="R86" s="224"/>
      <c r="S86" s="224"/>
      <c r="T86" s="224"/>
      <c r="U86" s="489"/>
      <c r="V86" s="489"/>
      <c r="W86" s="217"/>
      <c r="X86" s="224"/>
      <c r="Y86" s="224"/>
      <c r="Z86" s="224"/>
      <c r="AA86" s="489"/>
      <c r="AB86" s="489"/>
      <c r="AC86" s="217"/>
      <c r="AD86" s="224"/>
      <c r="AE86" s="489"/>
    </row>
    <row r="87" spans="3:31" ht="16.2" customHeight="1">
      <c r="C87" s="489"/>
      <c r="D87" s="489"/>
      <c r="E87" s="217"/>
      <c r="F87" s="224"/>
      <c r="G87" s="224"/>
      <c r="H87" s="224"/>
      <c r="I87" s="489"/>
      <c r="J87" s="489"/>
      <c r="K87" s="217"/>
      <c r="L87" s="224"/>
      <c r="M87" s="224"/>
      <c r="N87" s="224"/>
      <c r="O87" s="489"/>
      <c r="P87" s="489"/>
      <c r="Q87" s="217"/>
      <c r="R87" s="224"/>
      <c r="S87" s="224"/>
      <c r="T87" s="224"/>
      <c r="U87" s="489"/>
      <c r="V87" s="489"/>
      <c r="W87" s="217"/>
      <c r="X87" s="224"/>
      <c r="Y87" s="224"/>
      <c r="Z87" s="224"/>
      <c r="AA87" s="489"/>
      <c r="AB87" s="489"/>
      <c r="AC87" s="217"/>
      <c r="AD87" s="224"/>
      <c r="AE87" s="489"/>
    </row>
    <row r="88" spans="3:31" ht="16.2" customHeight="1">
      <c r="C88" s="489"/>
      <c r="D88" s="489"/>
      <c r="E88" s="217"/>
      <c r="F88" s="224"/>
      <c r="G88" s="224"/>
      <c r="H88" s="224"/>
      <c r="I88" s="489"/>
      <c r="J88" s="489"/>
      <c r="K88" s="217"/>
      <c r="L88" s="224"/>
      <c r="M88" s="224"/>
      <c r="N88" s="224"/>
      <c r="O88" s="489"/>
      <c r="P88" s="489"/>
      <c r="Q88" s="217"/>
      <c r="R88" s="224"/>
      <c r="S88" s="224"/>
      <c r="T88" s="224"/>
      <c r="U88" s="489"/>
      <c r="V88" s="489"/>
      <c r="W88" s="217"/>
      <c r="X88" s="224"/>
      <c r="Y88" s="224"/>
      <c r="Z88" s="224"/>
      <c r="AA88" s="489"/>
      <c r="AB88" s="489"/>
      <c r="AC88" s="217"/>
      <c r="AD88" s="224"/>
      <c r="AE88" s="489"/>
    </row>
    <row r="89" spans="3:31" ht="16.2" customHeight="1">
      <c r="C89" s="489"/>
      <c r="D89" s="489"/>
      <c r="E89" s="217"/>
      <c r="F89" s="224"/>
      <c r="G89" s="224"/>
      <c r="H89" s="224"/>
      <c r="I89" s="489"/>
      <c r="J89" s="489"/>
      <c r="K89" s="217"/>
      <c r="L89" s="224"/>
      <c r="M89" s="224"/>
      <c r="N89" s="224"/>
      <c r="O89" s="489"/>
      <c r="P89" s="489"/>
      <c r="Q89" s="217"/>
      <c r="R89" s="224"/>
      <c r="S89" s="224"/>
      <c r="T89" s="224"/>
      <c r="U89" s="489"/>
      <c r="V89" s="489"/>
      <c r="W89" s="217"/>
      <c r="X89" s="224"/>
      <c r="Y89" s="224"/>
      <c r="Z89" s="224"/>
      <c r="AA89" s="489"/>
      <c r="AB89" s="489"/>
      <c r="AC89" s="217"/>
      <c r="AD89" s="224"/>
      <c r="AE89" s="489"/>
    </row>
    <row r="90" spans="3:31" ht="16.2" customHeight="1">
      <c r="C90" s="489"/>
      <c r="D90" s="489"/>
      <c r="E90" s="217"/>
      <c r="F90" s="224"/>
      <c r="G90" s="224"/>
      <c r="H90" s="224"/>
      <c r="I90" s="489"/>
      <c r="J90" s="489"/>
      <c r="K90" s="217"/>
      <c r="L90" s="224"/>
      <c r="M90" s="224"/>
      <c r="N90" s="224"/>
      <c r="O90" s="489"/>
      <c r="P90" s="489"/>
      <c r="Q90" s="217"/>
      <c r="R90" s="224"/>
      <c r="S90" s="224"/>
      <c r="T90" s="224"/>
      <c r="U90" s="489"/>
      <c r="V90" s="489"/>
      <c r="W90" s="217"/>
      <c r="X90" s="224"/>
      <c r="Y90" s="224"/>
      <c r="Z90" s="224"/>
      <c r="AA90" s="489"/>
      <c r="AB90" s="489"/>
      <c r="AC90" s="217"/>
      <c r="AD90" s="224"/>
      <c r="AE90" s="489"/>
    </row>
    <row r="91" spans="3:31" ht="16.2" customHeight="1">
      <c r="C91" s="489"/>
      <c r="D91" s="489"/>
      <c r="E91" s="217"/>
      <c r="F91" s="224"/>
      <c r="G91" s="224"/>
      <c r="H91" s="224"/>
      <c r="I91" s="489"/>
      <c r="J91" s="489"/>
      <c r="K91" s="217"/>
      <c r="L91" s="224"/>
      <c r="M91" s="224"/>
      <c r="N91" s="224"/>
      <c r="O91" s="489"/>
      <c r="P91" s="489"/>
      <c r="Q91" s="217"/>
      <c r="R91" s="224"/>
      <c r="S91" s="224"/>
      <c r="T91" s="224"/>
      <c r="U91" s="489"/>
      <c r="V91" s="489"/>
      <c r="W91" s="217"/>
      <c r="X91" s="224"/>
      <c r="Y91" s="224"/>
      <c r="Z91" s="224"/>
      <c r="AA91" s="489"/>
      <c r="AB91" s="489"/>
      <c r="AC91" s="217"/>
      <c r="AD91" s="224"/>
      <c r="AE91" s="489"/>
    </row>
    <row r="92" spans="3:31" ht="16.2" customHeight="1">
      <c r="C92" s="489"/>
      <c r="D92" s="489"/>
      <c r="E92" s="217"/>
      <c r="F92" s="224"/>
      <c r="G92" s="224"/>
      <c r="H92" s="224"/>
      <c r="I92" s="489"/>
      <c r="J92" s="489"/>
      <c r="K92" s="217"/>
      <c r="L92" s="224"/>
      <c r="M92" s="224"/>
      <c r="N92" s="224"/>
      <c r="O92" s="489"/>
      <c r="P92" s="489"/>
      <c r="Q92" s="217"/>
      <c r="R92" s="224"/>
      <c r="S92" s="224"/>
      <c r="T92" s="224"/>
      <c r="U92" s="489"/>
      <c r="V92" s="489"/>
      <c r="W92" s="217"/>
      <c r="X92" s="224"/>
      <c r="Y92" s="224"/>
      <c r="Z92" s="224"/>
      <c r="AA92" s="489"/>
      <c r="AB92" s="489"/>
      <c r="AC92" s="217"/>
      <c r="AD92" s="224"/>
      <c r="AE92" s="489"/>
    </row>
    <row r="93" spans="3:31" ht="16.2" customHeight="1">
      <c r="C93" s="489"/>
      <c r="D93" s="489"/>
      <c r="E93" s="217"/>
      <c r="F93" s="224"/>
      <c r="G93" s="224"/>
      <c r="H93" s="224"/>
      <c r="I93" s="489"/>
      <c r="J93" s="489"/>
      <c r="K93" s="217"/>
      <c r="L93" s="224"/>
      <c r="M93" s="224"/>
      <c r="N93" s="224"/>
      <c r="O93" s="489"/>
      <c r="P93" s="489"/>
      <c r="Q93" s="217"/>
      <c r="R93" s="224"/>
      <c r="S93" s="224"/>
      <c r="T93" s="224"/>
      <c r="U93" s="489"/>
      <c r="V93" s="489"/>
      <c r="W93" s="217"/>
      <c r="X93" s="224"/>
      <c r="Y93" s="224"/>
      <c r="Z93" s="224"/>
      <c r="AA93" s="489"/>
      <c r="AB93" s="489"/>
      <c r="AC93" s="217"/>
      <c r="AD93" s="224"/>
      <c r="AE93" s="489"/>
    </row>
    <row r="94" spans="3:31" ht="16.2" customHeight="1">
      <c r="C94" s="489"/>
      <c r="D94" s="489"/>
      <c r="E94" s="217"/>
      <c r="F94" s="224"/>
      <c r="G94" s="224"/>
      <c r="H94" s="224"/>
      <c r="I94" s="489"/>
      <c r="J94" s="489"/>
      <c r="K94" s="217"/>
      <c r="L94" s="224"/>
      <c r="M94" s="224"/>
      <c r="N94" s="224"/>
      <c r="O94" s="489"/>
      <c r="P94" s="489"/>
      <c r="Q94" s="217"/>
      <c r="R94" s="224"/>
      <c r="S94" s="224"/>
      <c r="T94" s="224"/>
      <c r="U94" s="489"/>
      <c r="V94" s="489"/>
      <c r="W94" s="217"/>
      <c r="X94" s="224"/>
      <c r="Y94" s="224"/>
      <c r="Z94" s="224"/>
      <c r="AA94" s="489"/>
      <c r="AB94" s="489"/>
      <c r="AC94" s="217"/>
      <c r="AD94" s="224"/>
      <c r="AE94" s="489"/>
    </row>
    <row r="95" spans="3:31" ht="16.2" customHeight="1">
      <c r="C95" s="489"/>
      <c r="D95" s="489"/>
      <c r="E95" s="217"/>
      <c r="F95" s="224"/>
      <c r="G95" s="224"/>
      <c r="H95" s="224"/>
      <c r="I95" s="489"/>
      <c r="J95" s="489"/>
      <c r="K95" s="217"/>
      <c r="L95" s="224"/>
      <c r="M95" s="224"/>
      <c r="N95" s="224"/>
      <c r="O95" s="489"/>
      <c r="P95" s="489"/>
      <c r="Q95" s="217"/>
      <c r="R95" s="224"/>
      <c r="S95" s="224"/>
      <c r="T95" s="224"/>
      <c r="U95" s="489"/>
      <c r="V95" s="489"/>
      <c r="W95" s="217"/>
      <c r="X95" s="224"/>
      <c r="Y95" s="224"/>
      <c r="Z95" s="224"/>
      <c r="AA95" s="489"/>
      <c r="AB95" s="489"/>
      <c r="AC95" s="217"/>
      <c r="AD95" s="224"/>
      <c r="AE95" s="489"/>
    </row>
    <row r="96" spans="3:31" ht="16.2" customHeight="1">
      <c r="C96" s="489"/>
      <c r="D96" s="489"/>
      <c r="E96" s="217"/>
      <c r="F96" s="224"/>
      <c r="G96" s="224"/>
      <c r="H96" s="224"/>
      <c r="I96" s="489"/>
      <c r="J96" s="489"/>
      <c r="K96" s="217"/>
      <c r="L96" s="224"/>
      <c r="M96" s="224"/>
      <c r="N96" s="224"/>
      <c r="O96" s="489"/>
      <c r="P96" s="489"/>
      <c r="Q96" s="217"/>
      <c r="R96" s="224"/>
      <c r="S96" s="224"/>
      <c r="T96" s="224"/>
      <c r="U96" s="489"/>
      <c r="V96" s="489"/>
      <c r="W96" s="217"/>
      <c r="X96" s="224"/>
      <c r="Y96" s="224"/>
      <c r="Z96" s="224"/>
      <c r="AA96" s="489"/>
      <c r="AB96" s="489"/>
      <c r="AC96" s="217"/>
      <c r="AD96" s="224"/>
      <c r="AE96" s="489"/>
    </row>
    <row r="97" spans="3:31" ht="16.2" customHeight="1">
      <c r="C97" s="489"/>
      <c r="D97" s="489"/>
      <c r="E97" s="217"/>
      <c r="F97" s="224"/>
      <c r="G97" s="224"/>
      <c r="H97" s="224"/>
      <c r="I97" s="489"/>
      <c r="J97" s="489"/>
      <c r="K97" s="217"/>
      <c r="L97" s="224"/>
      <c r="M97" s="224"/>
      <c r="N97" s="224"/>
      <c r="O97" s="489"/>
      <c r="P97" s="489"/>
      <c r="Q97" s="217"/>
      <c r="R97" s="224"/>
      <c r="S97" s="224"/>
      <c r="T97" s="224"/>
      <c r="U97" s="489"/>
      <c r="V97" s="489"/>
      <c r="W97" s="217"/>
      <c r="X97" s="224"/>
      <c r="Y97" s="224"/>
      <c r="Z97" s="224"/>
      <c r="AA97" s="489"/>
      <c r="AB97" s="489"/>
      <c r="AC97" s="217"/>
      <c r="AD97" s="224"/>
      <c r="AE97" s="489"/>
    </row>
    <row r="98" spans="3:31" ht="16.2" customHeight="1">
      <c r="C98" s="489"/>
      <c r="D98" s="489"/>
      <c r="E98" s="217"/>
      <c r="F98" s="224"/>
      <c r="G98" s="224"/>
      <c r="H98" s="224"/>
      <c r="I98" s="489"/>
      <c r="J98" s="489"/>
      <c r="K98" s="217"/>
      <c r="L98" s="224"/>
      <c r="M98" s="224"/>
      <c r="N98" s="224"/>
      <c r="O98" s="489"/>
      <c r="P98" s="489"/>
      <c r="Q98" s="217"/>
      <c r="R98" s="224"/>
      <c r="S98" s="224"/>
      <c r="T98" s="224"/>
      <c r="U98" s="489"/>
      <c r="V98" s="489"/>
      <c r="W98" s="217"/>
      <c r="X98" s="224"/>
      <c r="Y98" s="224"/>
      <c r="Z98" s="224"/>
      <c r="AA98" s="489"/>
      <c r="AB98" s="489"/>
      <c r="AC98" s="217"/>
      <c r="AD98" s="224"/>
      <c r="AE98" s="489"/>
    </row>
    <row r="99" spans="3:31" ht="16.2" customHeight="1">
      <c r="C99" s="489"/>
      <c r="D99" s="489"/>
      <c r="E99" s="217"/>
      <c r="F99" s="224"/>
      <c r="G99" s="224"/>
      <c r="H99" s="224"/>
      <c r="I99" s="489"/>
      <c r="J99" s="489"/>
      <c r="K99" s="217"/>
      <c r="L99" s="224"/>
      <c r="M99" s="224"/>
      <c r="N99" s="224"/>
      <c r="O99" s="489"/>
      <c r="P99" s="489"/>
      <c r="Q99" s="217"/>
      <c r="R99" s="224"/>
      <c r="S99" s="224"/>
      <c r="T99" s="224"/>
      <c r="U99" s="489"/>
      <c r="V99" s="489"/>
      <c r="W99" s="217"/>
      <c r="X99" s="224"/>
      <c r="Y99" s="224"/>
      <c r="Z99" s="224"/>
      <c r="AA99" s="489"/>
      <c r="AB99" s="489"/>
      <c r="AC99" s="217"/>
      <c r="AD99" s="224"/>
      <c r="AE99" s="489"/>
    </row>
    <row r="100" spans="3:31" ht="16.2" customHeight="1">
      <c r="C100" s="489"/>
      <c r="D100" s="489"/>
      <c r="E100" s="217"/>
      <c r="F100" s="224"/>
      <c r="G100" s="224"/>
      <c r="H100" s="224"/>
      <c r="I100" s="489"/>
      <c r="J100" s="489"/>
      <c r="K100" s="217"/>
      <c r="L100" s="224"/>
      <c r="M100" s="224"/>
      <c r="N100" s="224"/>
      <c r="O100" s="489"/>
      <c r="P100" s="489"/>
      <c r="Q100" s="217"/>
      <c r="R100" s="224"/>
      <c r="S100" s="224"/>
      <c r="T100" s="224"/>
      <c r="U100" s="489"/>
      <c r="V100" s="489"/>
      <c r="W100" s="217"/>
      <c r="X100" s="224"/>
      <c r="Y100" s="224"/>
      <c r="Z100" s="224"/>
      <c r="AA100" s="489"/>
      <c r="AB100" s="489"/>
      <c r="AC100" s="217"/>
      <c r="AD100" s="224"/>
      <c r="AE100" s="489"/>
    </row>
    <row r="101" spans="3:31" ht="16.2" customHeight="1">
      <c r="C101" s="489"/>
      <c r="D101" s="489"/>
      <c r="E101" s="217"/>
      <c r="F101" s="224"/>
      <c r="G101" s="224"/>
      <c r="H101" s="224"/>
      <c r="I101" s="489"/>
      <c r="J101" s="489"/>
      <c r="K101" s="217"/>
      <c r="L101" s="224"/>
      <c r="M101" s="224"/>
      <c r="N101" s="224"/>
      <c r="O101" s="489"/>
      <c r="P101" s="489"/>
      <c r="Q101" s="217"/>
      <c r="R101" s="224"/>
      <c r="S101" s="224"/>
      <c r="T101" s="224"/>
      <c r="U101" s="489"/>
      <c r="V101" s="489"/>
      <c r="W101" s="217"/>
      <c r="X101" s="224"/>
      <c r="Y101" s="224"/>
      <c r="Z101" s="224"/>
      <c r="AA101" s="489"/>
      <c r="AB101" s="489"/>
      <c r="AC101" s="217"/>
      <c r="AD101" s="224"/>
      <c r="AE101" s="489"/>
    </row>
    <row r="102" spans="3:31" ht="16.2" customHeight="1">
      <c r="C102" s="489"/>
      <c r="D102" s="489"/>
      <c r="E102" s="217"/>
      <c r="F102" s="224"/>
      <c r="G102" s="224"/>
      <c r="H102" s="224"/>
      <c r="I102" s="489"/>
      <c r="J102" s="489"/>
      <c r="K102" s="217"/>
      <c r="L102" s="224"/>
      <c r="M102" s="224"/>
      <c r="N102" s="224"/>
      <c r="O102" s="489"/>
      <c r="P102" s="489"/>
      <c r="Q102" s="217"/>
      <c r="R102" s="224"/>
      <c r="S102" s="224"/>
      <c r="T102" s="224"/>
      <c r="U102" s="489"/>
      <c r="V102" s="489"/>
      <c r="W102" s="217"/>
      <c r="X102" s="224"/>
      <c r="Y102" s="224"/>
      <c r="Z102" s="224"/>
      <c r="AA102" s="489"/>
      <c r="AB102" s="489"/>
      <c r="AC102" s="217"/>
      <c r="AD102" s="224"/>
      <c r="AE102" s="489"/>
    </row>
    <row r="103" spans="3:31" ht="16.2" customHeight="1">
      <c r="C103" s="489"/>
      <c r="D103" s="489"/>
      <c r="E103" s="217"/>
      <c r="F103" s="224"/>
      <c r="G103" s="224"/>
      <c r="H103" s="224"/>
      <c r="I103" s="489"/>
      <c r="J103" s="489"/>
      <c r="K103" s="217"/>
      <c r="L103" s="224"/>
      <c r="M103" s="224"/>
      <c r="N103" s="224"/>
      <c r="O103" s="489"/>
      <c r="P103" s="489"/>
      <c r="Q103" s="217"/>
      <c r="R103" s="224"/>
      <c r="S103" s="224"/>
      <c r="T103" s="224"/>
      <c r="U103" s="489"/>
      <c r="V103" s="489"/>
      <c r="W103" s="217"/>
      <c r="X103" s="224"/>
      <c r="Y103" s="224"/>
      <c r="Z103" s="224"/>
      <c r="AA103" s="489"/>
      <c r="AB103" s="489"/>
      <c r="AC103" s="217"/>
      <c r="AD103" s="224"/>
      <c r="AE103" s="489"/>
    </row>
    <row r="104" spans="3:31" ht="16.2" customHeight="1">
      <c r="C104" s="489"/>
      <c r="D104" s="489"/>
      <c r="E104" s="217"/>
      <c r="F104" s="224"/>
      <c r="G104" s="224"/>
      <c r="H104" s="224"/>
      <c r="I104" s="489"/>
      <c r="J104" s="489"/>
      <c r="K104" s="217"/>
      <c r="L104" s="224"/>
      <c r="M104" s="224"/>
      <c r="N104" s="224"/>
      <c r="O104" s="489"/>
      <c r="P104" s="489"/>
      <c r="Q104" s="217"/>
      <c r="R104" s="224"/>
      <c r="S104" s="224"/>
      <c r="T104" s="224"/>
      <c r="U104" s="489"/>
      <c r="V104" s="489"/>
      <c r="W104" s="217"/>
      <c r="X104" s="224"/>
      <c r="Y104" s="224"/>
      <c r="Z104" s="224"/>
      <c r="AA104" s="489"/>
      <c r="AB104" s="489"/>
      <c r="AC104" s="217"/>
      <c r="AD104" s="224"/>
      <c r="AE104" s="489"/>
    </row>
    <row r="105" spans="3:31" ht="16.2" customHeight="1">
      <c r="C105" s="489"/>
      <c r="D105" s="489"/>
      <c r="E105" s="217"/>
      <c r="F105" s="224"/>
      <c r="G105" s="224"/>
      <c r="H105" s="224"/>
      <c r="I105" s="489"/>
      <c r="J105" s="489"/>
      <c r="K105" s="217"/>
      <c r="L105" s="224"/>
      <c r="M105" s="224"/>
      <c r="N105" s="224"/>
      <c r="O105" s="489"/>
      <c r="P105" s="489"/>
      <c r="Q105" s="217"/>
      <c r="R105" s="224"/>
      <c r="S105" s="224"/>
      <c r="T105" s="224"/>
      <c r="U105" s="489"/>
      <c r="V105" s="489"/>
      <c r="W105" s="217"/>
      <c r="X105" s="224"/>
      <c r="Y105" s="224"/>
      <c r="Z105" s="224"/>
      <c r="AA105" s="489"/>
      <c r="AB105" s="489"/>
      <c r="AC105" s="217"/>
      <c r="AD105" s="224"/>
      <c r="AE105" s="489"/>
    </row>
    <row r="106" spans="3:31" ht="16.2" customHeight="1">
      <c r="C106" s="489"/>
      <c r="D106" s="489"/>
      <c r="E106" s="217"/>
      <c r="F106" s="224"/>
      <c r="G106" s="224"/>
      <c r="H106" s="224"/>
      <c r="I106" s="489"/>
      <c r="J106" s="489"/>
      <c r="K106" s="217"/>
      <c r="L106" s="224"/>
      <c r="M106" s="224"/>
      <c r="N106" s="224"/>
      <c r="O106" s="489"/>
      <c r="P106" s="489"/>
      <c r="Q106" s="217"/>
      <c r="R106" s="224"/>
      <c r="S106" s="224"/>
      <c r="T106" s="224"/>
      <c r="U106" s="489"/>
      <c r="V106" s="489"/>
      <c r="W106" s="217"/>
      <c r="X106" s="224"/>
      <c r="Y106" s="224"/>
      <c r="Z106" s="224"/>
      <c r="AA106" s="489"/>
      <c r="AB106" s="489"/>
      <c r="AC106" s="217"/>
      <c r="AD106" s="224"/>
      <c r="AE106" s="489"/>
    </row>
    <row r="107" spans="3:31" ht="16.2" customHeight="1">
      <c r="C107" s="489"/>
      <c r="D107" s="489"/>
      <c r="E107" s="217"/>
      <c r="F107" s="224"/>
      <c r="G107" s="224"/>
      <c r="H107" s="224"/>
      <c r="I107" s="489"/>
      <c r="J107" s="489"/>
      <c r="K107" s="217"/>
      <c r="L107" s="224"/>
      <c r="M107" s="224"/>
      <c r="N107" s="224"/>
      <c r="O107" s="489"/>
      <c r="P107" s="489"/>
      <c r="Q107" s="217"/>
      <c r="R107" s="224"/>
      <c r="S107" s="224"/>
      <c r="T107" s="224"/>
      <c r="U107" s="489"/>
      <c r="V107" s="489"/>
      <c r="W107" s="217"/>
      <c r="X107" s="224"/>
      <c r="Y107" s="224"/>
      <c r="Z107" s="224"/>
      <c r="AA107" s="489"/>
      <c r="AB107" s="489"/>
      <c r="AC107" s="217"/>
      <c r="AD107" s="224"/>
      <c r="AE107" s="489"/>
    </row>
    <row r="108" spans="3:31" ht="16.2" customHeight="1">
      <c r="C108" s="489"/>
      <c r="D108" s="489"/>
      <c r="E108" s="217"/>
      <c r="F108" s="224"/>
      <c r="G108" s="224"/>
      <c r="H108" s="224"/>
      <c r="I108" s="489"/>
      <c r="J108" s="489"/>
      <c r="K108" s="217"/>
      <c r="L108" s="224"/>
      <c r="M108" s="224"/>
      <c r="N108" s="224"/>
      <c r="O108" s="489"/>
      <c r="P108" s="489"/>
      <c r="Q108" s="217"/>
      <c r="R108" s="224"/>
      <c r="S108" s="224"/>
      <c r="T108" s="224"/>
      <c r="U108" s="489"/>
      <c r="V108" s="489"/>
      <c r="W108" s="217"/>
      <c r="X108" s="224"/>
      <c r="Y108" s="224"/>
      <c r="Z108" s="224"/>
      <c r="AA108" s="489"/>
      <c r="AB108" s="489"/>
      <c r="AC108" s="217"/>
      <c r="AD108" s="224"/>
      <c r="AE108" s="489"/>
    </row>
    <row r="109" spans="3:31" ht="16.2" customHeight="1">
      <c r="C109" s="489"/>
      <c r="D109" s="489"/>
      <c r="E109" s="217"/>
      <c r="F109" s="224"/>
      <c r="G109" s="224"/>
      <c r="H109" s="224"/>
      <c r="I109" s="489"/>
      <c r="J109" s="489"/>
      <c r="K109" s="217"/>
      <c r="L109" s="224"/>
      <c r="M109" s="224"/>
      <c r="N109" s="224"/>
      <c r="O109" s="489"/>
      <c r="P109" s="489"/>
      <c r="Q109" s="217"/>
      <c r="R109" s="224"/>
      <c r="S109" s="224"/>
      <c r="T109" s="224"/>
      <c r="U109" s="489"/>
      <c r="V109" s="489"/>
      <c r="W109" s="217"/>
      <c r="X109" s="224"/>
      <c r="Y109" s="224"/>
      <c r="Z109" s="224"/>
      <c r="AA109" s="489"/>
      <c r="AB109" s="489"/>
      <c r="AC109" s="217"/>
      <c r="AD109" s="224"/>
      <c r="AE109" s="489"/>
    </row>
    <row r="110" spans="3:31" ht="16.2" customHeight="1">
      <c r="C110" s="489"/>
      <c r="D110" s="489"/>
      <c r="E110" s="217"/>
      <c r="F110" s="224"/>
      <c r="G110" s="224"/>
      <c r="H110" s="224"/>
      <c r="I110" s="489"/>
      <c r="J110" s="489"/>
      <c r="K110" s="217"/>
      <c r="L110" s="224"/>
      <c r="M110" s="224"/>
      <c r="N110" s="224"/>
      <c r="O110" s="489"/>
      <c r="P110" s="489"/>
      <c r="Q110" s="217"/>
      <c r="R110" s="224"/>
      <c r="S110" s="224"/>
      <c r="T110" s="224"/>
      <c r="U110" s="489"/>
      <c r="V110" s="489"/>
      <c r="W110" s="217"/>
      <c r="X110" s="224"/>
      <c r="Y110" s="224"/>
      <c r="Z110" s="224"/>
      <c r="AA110" s="489"/>
      <c r="AB110" s="489"/>
      <c r="AC110" s="217"/>
      <c r="AD110" s="224"/>
      <c r="AE110" s="489"/>
    </row>
    <row r="111" spans="3:31" ht="16.2" customHeight="1">
      <c r="C111" s="489"/>
      <c r="D111" s="489"/>
      <c r="E111" s="217"/>
      <c r="F111" s="224"/>
      <c r="G111" s="224"/>
      <c r="H111" s="224"/>
      <c r="I111" s="489"/>
      <c r="J111" s="489"/>
      <c r="K111" s="217"/>
      <c r="L111" s="224"/>
      <c r="M111" s="224"/>
      <c r="N111" s="224"/>
      <c r="O111" s="489"/>
      <c r="P111" s="489"/>
      <c r="Q111" s="217"/>
      <c r="R111" s="224"/>
      <c r="S111" s="224"/>
      <c r="T111" s="224"/>
      <c r="U111" s="489"/>
      <c r="V111" s="489"/>
      <c r="W111" s="217"/>
      <c r="X111" s="224"/>
      <c r="Y111" s="224"/>
      <c r="Z111" s="224"/>
      <c r="AA111" s="489"/>
      <c r="AB111" s="489"/>
      <c r="AC111" s="217"/>
      <c r="AD111" s="224"/>
      <c r="AE111" s="489"/>
    </row>
    <row r="112" spans="3:31" ht="16.2" customHeight="1">
      <c r="C112" s="489"/>
      <c r="D112" s="489"/>
      <c r="E112" s="217"/>
      <c r="F112" s="224"/>
      <c r="G112" s="224"/>
      <c r="H112" s="224"/>
      <c r="I112" s="489"/>
      <c r="J112" s="489"/>
      <c r="K112" s="217"/>
      <c r="L112" s="224"/>
      <c r="M112" s="224"/>
      <c r="N112" s="224"/>
      <c r="O112" s="489"/>
      <c r="P112" s="489"/>
      <c r="Q112" s="217"/>
      <c r="R112" s="224"/>
      <c r="S112" s="224"/>
      <c r="T112" s="224"/>
      <c r="U112" s="489"/>
      <c r="V112" s="489"/>
      <c r="W112" s="217"/>
      <c r="X112" s="224"/>
      <c r="Y112" s="224"/>
      <c r="Z112" s="224"/>
      <c r="AA112" s="489"/>
      <c r="AB112" s="489"/>
      <c r="AC112" s="217"/>
      <c r="AD112" s="224"/>
      <c r="AE112" s="489"/>
    </row>
    <row r="113" spans="3:31" ht="16.2" customHeight="1">
      <c r="C113" s="489"/>
      <c r="D113" s="489"/>
      <c r="E113" s="217"/>
      <c r="F113" s="224"/>
      <c r="G113" s="224"/>
      <c r="H113" s="224"/>
      <c r="I113" s="489"/>
      <c r="J113" s="489"/>
      <c r="K113" s="217"/>
      <c r="L113" s="224"/>
      <c r="M113" s="224"/>
      <c r="N113" s="224"/>
      <c r="O113" s="489"/>
      <c r="P113" s="489"/>
      <c r="Q113" s="217"/>
      <c r="R113" s="224"/>
      <c r="S113" s="224"/>
      <c r="T113" s="224"/>
      <c r="U113" s="489"/>
      <c r="V113" s="489"/>
      <c r="W113" s="217"/>
      <c r="X113" s="224"/>
      <c r="Y113" s="224"/>
      <c r="Z113" s="224"/>
      <c r="AA113" s="489"/>
      <c r="AB113" s="489"/>
      <c r="AC113" s="217"/>
      <c r="AD113" s="224"/>
      <c r="AE113" s="489"/>
    </row>
    <row r="114" spans="3:31" ht="16.2" customHeight="1">
      <c r="C114" s="489"/>
      <c r="D114" s="489"/>
      <c r="E114" s="217"/>
      <c r="F114" s="224"/>
      <c r="G114" s="224"/>
      <c r="H114" s="224"/>
      <c r="I114" s="489"/>
      <c r="J114" s="489"/>
      <c r="K114" s="217"/>
      <c r="L114" s="224"/>
      <c r="M114" s="224"/>
      <c r="N114" s="224"/>
      <c r="O114" s="489"/>
      <c r="P114" s="489"/>
      <c r="Q114" s="217"/>
      <c r="R114" s="224"/>
      <c r="S114" s="224"/>
      <c r="T114" s="224"/>
      <c r="U114" s="489"/>
      <c r="V114" s="489"/>
      <c r="W114" s="217"/>
      <c r="X114" s="224"/>
      <c r="Y114" s="224"/>
      <c r="Z114" s="224"/>
      <c r="AA114" s="489"/>
      <c r="AB114" s="489"/>
      <c r="AC114" s="217"/>
      <c r="AD114" s="224"/>
      <c r="AE114" s="489"/>
    </row>
    <row r="115" spans="3:31" ht="16.2" customHeight="1">
      <c r="C115" s="489"/>
      <c r="D115" s="489"/>
      <c r="E115" s="217"/>
      <c r="F115" s="224"/>
      <c r="G115" s="224"/>
      <c r="H115" s="224"/>
      <c r="I115" s="489"/>
      <c r="J115" s="489"/>
      <c r="K115" s="217"/>
      <c r="L115" s="224"/>
      <c r="M115" s="224"/>
      <c r="N115" s="224"/>
      <c r="O115" s="489"/>
      <c r="P115" s="489"/>
      <c r="Q115" s="217"/>
      <c r="R115" s="224"/>
      <c r="S115" s="224"/>
      <c r="T115" s="224"/>
      <c r="U115" s="489"/>
      <c r="V115" s="489"/>
      <c r="W115" s="217"/>
      <c r="X115" s="224"/>
      <c r="Y115" s="224"/>
      <c r="Z115" s="224"/>
      <c r="AA115" s="489"/>
      <c r="AB115" s="489"/>
      <c r="AC115" s="217"/>
      <c r="AD115" s="224"/>
      <c r="AE115" s="489"/>
    </row>
    <row r="116" spans="3:31" ht="16.2" customHeight="1">
      <c r="C116" s="489"/>
      <c r="D116" s="489"/>
      <c r="E116" s="217"/>
      <c r="F116" s="224"/>
      <c r="G116" s="224"/>
      <c r="H116" s="224"/>
      <c r="I116" s="489"/>
      <c r="J116" s="489"/>
      <c r="K116" s="217"/>
      <c r="L116" s="224"/>
      <c r="M116" s="224"/>
      <c r="N116" s="224"/>
      <c r="O116" s="489"/>
      <c r="P116" s="489"/>
      <c r="Q116" s="217"/>
      <c r="R116" s="224"/>
      <c r="S116" s="224"/>
      <c r="T116" s="224"/>
      <c r="U116" s="489"/>
      <c r="V116" s="489"/>
      <c r="W116" s="217"/>
      <c r="X116" s="224"/>
      <c r="Y116" s="224"/>
      <c r="Z116" s="224"/>
      <c r="AA116" s="489"/>
      <c r="AB116" s="489"/>
      <c r="AC116" s="217"/>
      <c r="AD116" s="224"/>
      <c r="AE116" s="489"/>
    </row>
    <row r="117" spans="3:31" ht="16.2" customHeight="1">
      <c r="C117" s="489"/>
      <c r="D117" s="489"/>
      <c r="E117" s="217"/>
      <c r="F117" s="224"/>
      <c r="G117" s="224"/>
      <c r="H117" s="224"/>
      <c r="I117" s="489"/>
      <c r="J117" s="489"/>
      <c r="K117" s="217"/>
      <c r="L117" s="224"/>
      <c r="M117" s="224"/>
      <c r="N117" s="224"/>
      <c r="O117" s="489"/>
      <c r="P117" s="489"/>
      <c r="Q117" s="217"/>
      <c r="R117" s="224"/>
      <c r="S117" s="224"/>
      <c r="T117" s="224"/>
      <c r="U117" s="489"/>
      <c r="V117" s="489"/>
      <c r="W117" s="217"/>
      <c r="X117" s="224"/>
      <c r="Y117" s="224"/>
      <c r="Z117" s="224"/>
      <c r="AA117" s="489"/>
      <c r="AB117" s="489"/>
      <c r="AC117" s="217"/>
      <c r="AD117" s="224"/>
      <c r="AE117" s="489"/>
    </row>
    <row r="118" spans="3:31" ht="16.2" customHeight="1">
      <c r="C118" s="489"/>
      <c r="D118" s="489"/>
      <c r="E118" s="217"/>
      <c r="F118" s="224"/>
      <c r="G118" s="224"/>
      <c r="H118" s="224"/>
      <c r="I118" s="489"/>
      <c r="J118" s="489"/>
      <c r="K118" s="217"/>
      <c r="L118" s="224"/>
      <c r="M118" s="224"/>
      <c r="N118" s="224"/>
      <c r="O118" s="489"/>
      <c r="P118" s="489"/>
      <c r="Q118" s="217"/>
      <c r="R118" s="224"/>
      <c r="S118" s="224"/>
      <c r="T118" s="224"/>
      <c r="U118" s="489"/>
      <c r="V118" s="489"/>
      <c r="W118" s="217"/>
      <c r="X118" s="224"/>
      <c r="Y118" s="224"/>
      <c r="Z118" s="224"/>
      <c r="AA118" s="489"/>
      <c r="AB118" s="489"/>
      <c r="AC118" s="217"/>
      <c r="AD118" s="224"/>
      <c r="AE118" s="489"/>
    </row>
    <row r="119" spans="3:31" ht="16.2" customHeight="1">
      <c r="C119" s="489"/>
      <c r="D119" s="489"/>
      <c r="E119" s="217"/>
      <c r="F119" s="224"/>
      <c r="G119" s="224"/>
      <c r="H119" s="224"/>
      <c r="I119" s="489"/>
      <c r="J119" s="489"/>
      <c r="K119" s="217"/>
      <c r="L119" s="224"/>
      <c r="M119" s="224"/>
      <c r="N119" s="224"/>
      <c r="O119" s="489"/>
      <c r="P119" s="489"/>
      <c r="Q119" s="217"/>
      <c r="R119" s="224"/>
      <c r="S119" s="224"/>
      <c r="T119" s="224"/>
      <c r="U119" s="489"/>
      <c r="V119" s="489"/>
      <c r="W119" s="217"/>
      <c r="X119" s="224"/>
      <c r="Y119" s="224"/>
      <c r="Z119" s="224"/>
      <c r="AA119" s="489"/>
      <c r="AB119" s="489"/>
      <c r="AC119" s="217"/>
      <c r="AD119" s="224"/>
      <c r="AE119" s="489"/>
    </row>
    <row r="120" spans="3:31" ht="16.2" customHeight="1">
      <c r="C120" s="489"/>
      <c r="D120" s="489"/>
      <c r="E120" s="217"/>
      <c r="F120" s="224"/>
      <c r="G120" s="224"/>
      <c r="H120" s="224"/>
      <c r="I120" s="489"/>
      <c r="J120" s="489"/>
      <c r="K120" s="217"/>
      <c r="L120" s="224"/>
      <c r="M120" s="224"/>
      <c r="N120" s="224"/>
      <c r="O120" s="489"/>
      <c r="P120" s="489"/>
      <c r="Q120" s="217"/>
      <c r="R120" s="224"/>
      <c r="S120" s="224"/>
      <c r="T120" s="224"/>
      <c r="U120" s="489"/>
      <c r="V120" s="489"/>
      <c r="W120" s="217"/>
      <c r="X120" s="224"/>
      <c r="Y120" s="224"/>
      <c r="Z120" s="224"/>
      <c r="AA120" s="489"/>
      <c r="AB120" s="489"/>
      <c r="AC120" s="217"/>
      <c r="AD120" s="224"/>
      <c r="AE120" s="489"/>
    </row>
    <row r="121" spans="3:31" ht="16.2" customHeight="1">
      <c r="C121" s="489"/>
      <c r="D121" s="489"/>
      <c r="E121" s="217"/>
      <c r="F121" s="224"/>
      <c r="G121" s="224"/>
      <c r="H121" s="224"/>
      <c r="I121" s="489"/>
      <c r="J121" s="489"/>
      <c r="K121" s="217"/>
      <c r="L121" s="224"/>
      <c r="M121" s="224"/>
      <c r="N121" s="224"/>
      <c r="O121" s="489"/>
      <c r="P121" s="489"/>
      <c r="Q121" s="217"/>
      <c r="R121" s="224"/>
      <c r="S121" s="224"/>
      <c r="T121" s="224"/>
      <c r="U121" s="489"/>
      <c r="V121" s="489"/>
      <c r="W121" s="217"/>
      <c r="X121" s="224"/>
      <c r="Y121" s="224"/>
      <c r="Z121" s="224"/>
      <c r="AA121" s="489"/>
      <c r="AB121" s="489"/>
      <c r="AC121" s="217"/>
      <c r="AD121" s="224"/>
      <c r="AE121" s="489"/>
    </row>
  </sheetData>
  <sheetProtection formatCells="0"/>
  <mergeCells count="14">
    <mergeCell ref="AA7:AE8"/>
    <mergeCell ref="C2:F3"/>
    <mergeCell ref="AA10:AD10"/>
    <mergeCell ref="D5:L6"/>
    <mergeCell ref="D7:L8"/>
    <mergeCell ref="C10:F10"/>
    <mergeCell ref="I10:L10"/>
    <mergeCell ref="O10:R10"/>
    <mergeCell ref="U10:X10"/>
    <mergeCell ref="W5:X5"/>
    <mergeCell ref="W7:X7"/>
    <mergeCell ref="P5:V6"/>
    <mergeCell ref="P7:Q8"/>
    <mergeCell ref="AA5:AC6"/>
  </mergeCells>
  <phoneticPr fontId="2"/>
  <conditionalFormatting sqref="L23:L29 F34 L34 R34 X34 F13:F17 L13:L17 R13:R17 X13:X17 X23:X29 F23:F29 R23:R28">
    <cfRule type="cellIs" dxfId="17" priority="1" operator="greaterThan">
      <formula>D13</formula>
    </cfRule>
  </conditionalFormatting>
  <hyperlinks>
    <hyperlink ref="C2:F3" location="提案表紙!A1" display="大阪府折込資料表" xr:uid="{00000000-0004-0000-1B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&amp;L南区・北区・三原郡
&amp;RP-24/34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9">
    <tabColor rgb="FFB6D2F5"/>
    <pageSetUpPr fitToPage="1"/>
  </sheetPr>
  <dimension ref="A1:AE116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</cols>
  <sheetData>
    <row r="1" spans="1:31" ht="13.2" hidden="1">
      <c r="A1" s="338" t="s">
        <v>1369</v>
      </c>
      <c r="B1" s="51" t="s">
        <v>1370</v>
      </c>
      <c r="C1" s="22"/>
      <c r="E1"/>
      <c r="F1" s="51" t="s">
        <v>301</v>
      </c>
      <c r="G1" s="338" t="s">
        <v>1369</v>
      </c>
      <c r="H1" s="51" t="s">
        <v>1370</v>
      </c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E4"/>
      <c r="F4"/>
      <c r="G4"/>
      <c r="H4"/>
      <c r="I4" s="187">
        <v>45717</v>
      </c>
      <c r="J4" s="186" t="s">
        <v>0</v>
      </c>
      <c r="K4" t="s">
        <v>477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478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479</v>
      </c>
      <c r="P7" s="827">
        <f>提案表紙!G9</f>
        <v>0</v>
      </c>
      <c r="Q7" s="828"/>
      <c r="R7" s="7" t="s">
        <v>676</v>
      </c>
      <c r="S7"/>
      <c r="T7"/>
      <c r="U7" s="410">
        <f>泉大津市折込部数+高石市折込部数+泉北郡折込部数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E9"/>
      <c r="F9"/>
      <c r="G9"/>
      <c r="H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688</v>
      </c>
      <c r="D11" s="504" t="s">
        <v>689</v>
      </c>
      <c r="E11" s="319" t="s">
        <v>690</v>
      </c>
      <c r="F11" s="505" t="s">
        <v>212</v>
      </c>
      <c r="G11" s="51"/>
      <c r="H11" s="51"/>
      <c r="I11" s="503" t="s">
        <v>688</v>
      </c>
      <c r="J11" s="504" t="s">
        <v>689</v>
      </c>
      <c r="K11" s="319" t="s">
        <v>690</v>
      </c>
      <c r="L11" s="505" t="s">
        <v>212</v>
      </c>
      <c r="M11" s="51"/>
      <c r="N11" s="51"/>
      <c r="O11" s="503" t="s">
        <v>688</v>
      </c>
      <c r="P11" s="504" t="s">
        <v>689</v>
      </c>
      <c r="Q11" s="319" t="s">
        <v>690</v>
      </c>
      <c r="R11" s="505" t="s">
        <v>212</v>
      </c>
      <c r="S11" s="51"/>
      <c r="T11" s="51"/>
      <c r="U11" s="503" t="s">
        <v>688</v>
      </c>
      <c r="V11" s="504" t="s">
        <v>689</v>
      </c>
      <c r="W11" s="319" t="s">
        <v>690</v>
      </c>
      <c r="X11" s="505" t="s">
        <v>212</v>
      </c>
      <c r="Y11" s="51"/>
      <c r="Z11" s="51"/>
      <c r="AA11" s="503" t="s">
        <v>688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1442</v>
      </c>
      <c r="C12" s="46" t="s">
        <v>480</v>
      </c>
      <c r="G12" s="51">
        <v>2</v>
      </c>
      <c r="H12" s="488" t="s">
        <v>1442</v>
      </c>
      <c r="M12" s="51">
        <v>2</v>
      </c>
      <c r="N12" s="488" t="s">
        <v>1442</v>
      </c>
      <c r="R12"/>
      <c r="S12" s="51">
        <v>2</v>
      </c>
      <c r="T12" s="488" t="s">
        <v>1442</v>
      </c>
      <c r="X12"/>
      <c r="Y12" s="51">
        <v>2</v>
      </c>
      <c r="Z12" s="488" t="s">
        <v>1442</v>
      </c>
      <c r="AB12" s="15"/>
      <c r="AC12"/>
      <c r="AD12"/>
    </row>
    <row r="13" spans="1:31" ht="16.2" customHeight="1">
      <c r="A13" s="51">
        <v>3</v>
      </c>
      <c r="B13" s="51">
        <v>72405</v>
      </c>
      <c r="C13" s="441" t="s">
        <v>482</v>
      </c>
      <c r="D13" s="3">
        <v>3100</v>
      </c>
      <c r="E13" s="162"/>
      <c r="F13" s="404"/>
      <c r="G13" s="51">
        <v>3</v>
      </c>
      <c r="H13" s="51">
        <v>73397</v>
      </c>
      <c r="I13" s="441" t="s">
        <v>482</v>
      </c>
      <c r="J13" s="3">
        <v>2750</v>
      </c>
      <c r="K13" s="177"/>
      <c r="L13" s="404"/>
      <c r="M13" s="51">
        <v>3</v>
      </c>
      <c r="N13" s="51">
        <v>75455</v>
      </c>
      <c r="O13" s="441" t="s">
        <v>483</v>
      </c>
      <c r="P13" s="3">
        <v>1750</v>
      </c>
      <c r="Q13" s="177"/>
      <c r="R13" s="404"/>
      <c r="S13" s="51">
        <v>3</v>
      </c>
      <c r="T13" s="51">
        <v>74523</v>
      </c>
      <c r="U13" s="441" t="s">
        <v>1301</v>
      </c>
      <c r="V13" s="776" t="s">
        <v>1566</v>
      </c>
      <c r="W13" s="177"/>
      <c r="X13" s="404"/>
      <c r="Y13" s="51">
        <v>3</v>
      </c>
      <c r="Z13" s="51"/>
      <c r="AA13" s="703"/>
      <c r="AB13" s="215"/>
      <c r="AC13" s="136"/>
      <c r="AD13" s="129"/>
      <c r="AE13" s="704"/>
    </row>
    <row r="14" spans="1:31" ht="16.2" customHeight="1">
      <c r="A14" s="51">
        <v>3</v>
      </c>
      <c r="B14" s="51"/>
      <c r="C14" s="691"/>
      <c r="D14" s="705"/>
      <c r="E14" s="146"/>
      <c r="F14" s="405"/>
      <c r="G14" s="51">
        <v>3</v>
      </c>
      <c r="H14" s="51"/>
      <c r="I14" s="691"/>
      <c r="J14" s="755"/>
      <c r="K14" s="146"/>
      <c r="L14" s="405"/>
      <c r="M14" s="51">
        <v>3</v>
      </c>
      <c r="N14" s="51">
        <v>75457</v>
      </c>
      <c r="O14" s="691" t="s">
        <v>482</v>
      </c>
      <c r="P14" s="705">
        <v>2350</v>
      </c>
      <c r="Q14" s="198"/>
      <c r="R14" s="405"/>
      <c r="S14" s="51">
        <v>3</v>
      </c>
      <c r="T14" s="51">
        <v>74525</v>
      </c>
      <c r="U14" s="691" t="s">
        <v>482</v>
      </c>
      <c r="V14" s="705">
        <v>1700</v>
      </c>
      <c r="W14" s="198"/>
      <c r="X14" s="405"/>
      <c r="Y14" s="51">
        <v>3</v>
      </c>
      <c r="Z14" s="51"/>
      <c r="AA14" s="692"/>
      <c r="AB14" s="226"/>
      <c r="AC14" s="156"/>
      <c r="AD14" s="157"/>
      <c r="AE14" s="706"/>
    </row>
    <row r="15" spans="1:31" ht="16.2" customHeight="1">
      <c r="A15" s="51">
        <v>3</v>
      </c>
      <c r="B15" s="51"/>
      <c r="C15" s="692"/>
      <c r="D15" s="226"/>
      <c r="E15" s="146"/>
      <c r="F15" s="157"/>
      <c r="G15" s="51">
        <v>3</v>
      </c>
      <c r="H15" s="51"/>
      <c r="I15" s="692"/>
      <c r="J15" s="226"/>
      <c r="K15" s="146"/>
      <c r="L15" s="157"/>
      <c r="M15" s="51">
        <v>3</v>
      </c>
      <c r="N15" s="51"/>
      <c r="O15" s="692"/>
      <c r="P15" s="226"/>
      <c r="Q15" s="198"/>
      <c r="R15" s="157"/>
      <c r="S15" s="51">
        <v>3</v>
      </c>
      <c r="T15" s="51">
        <v>74526</v>
      </c>
      <c r="U15" s="691" t="s">
        <v>1475</v>
      </c>
      <c r="V15" s="755" t="s">
        <v>1566</v>
      </c>
      <c r="W15" s="198"/>
      <c r="X15" s="157"/>
      <c r="Y15" s="51">
        <v>3</v>
      </c>
      <c r="Z15" s="51"/>
      <c r="AA15" s="692"/>
      <c r="AB15" s="226"/>
      <c r="AC15" s="156"/>
      <c r="AD15" s="157"/>
      <c r="AE15" s="706"/>
    </row>
    <row r="16" spans="1:31" ht="16.2" customHeight="1">
      <c r="A16" s="51">
        <v>3</v>
      </c>
      <c r="B16" s="51"/>
      <c r="C16" s="692"/>
      <c r="D16" s="226"/>
      <c r="E16" s="146"/>
      <c r="F16" s="157"/>
      <c r="G16" s="51">
        <v>3</v>
      </c>
      <c r="H16" s="51"/>
      <c r="I16" s="692"/>
      <c r="J16" s="226"/>
      <c r="K16" s="146"/>
      <c r="L16" s="157"/>
      <c r="M16" s="51">
        <v>3</v>
      </c>
      <c r="N16" s="51"/>
      <c r="O16" s="692"/>
      <c r="P16" s="226"/>
      <c r="Q16" s="198"/>
      <c r="R16" s="157"/>
      <c r="S16" s="51">
        <v>3</v>
      </c>
      <c r="T16" s="51"/>
      <c r="U16" s="512"/>
      <c r="V16" s="226"/>
      <c r="W16" s="198"/>
      <c r="X16" s="157"/>
      <c r="Y16" s="51">
        <v>3</v>
      </c>
      <c r="Z16" s="51"/>
      <c r="AA16" s="692"/>
      <c r="AB16" s="226"/>
      <c r="AC16" s="156"/>
      <c r="AD16" s="157"/>
      <c r="AE16" s="706"/>
    </row>
    <row r="17" spans="1:31" ht="16.2" customHeight="1" thickBot="1">
      <c r="A17" s="51">
        <v>3</v>
      </c>
      <c r="B17" s="51"/>
      <c r="C17" s="512"/>
      <c r="D17" s="139"/>
      <c r="E17" s="178"/>
      <c r="F17" s="132"/>
      <c r="G17" s="51">
        <v>3</v>
      </c>
      <c r="H17" s="51"/>
      <c r="I17" s="512"/>
      <c r="J17" s="139"/>
      <c r="K17" s="137"/>
      <c r="L17" s="132"/>
      <c r="M17" s="51">
        <v>3</v>
      </c>
      <c r="N17" s="51"/>
      <c r="O17" s="512"/>
      <c r="P17" s="139"/>
      <c r="Q17" s="137"/>
      <c r="R17" s="132"/>
      <c r="S17" s="51">
        <v>3</v>
      </c>
      <c r="T17" s="51"/>
      <c r="U17" s="512"/>
      <c r="V17" s="139"/>
      <c r="W17" s="137"/>
      <c r="X17" s="132"/>
      <c r="Y17" s="51">
        <v>3</v>
      </c>
      <c r="Z17" s="51"/>
      <c r="AA17" s="512"/>
      <c r="AB17" s="139"/>
      <c r="AC17" s="137"/>
      <c r="AD17" s="132"/>
      <c r="AE17" s="516"/>
    </row>
    <row r="18" spans="1:31" ht="16.2" customHeight="1" thickTop="1">
      <c r="A18" s="51">
        <v>4</v>
      </c>
      <c r="B18" s="51"/>
      <c r="C18" s="523" t="s">
        <v>692</v>
      </c>
      <c r="D18" s="535">
        <f xml:space="preserve"> SUM(D13:D17)</f>
        <v>3100</v>
      </c>
      <c r="E18" s="28"/>
      <c r="F18" s="75">
        <f>SUM(F13:F17)</f>
        <v>0</v>
      </c>
      <c r="G18" s="51">
        <v>4</v>
      </c>
      <c r="H18" s="51"/>
      <c r="I18" s="523" t="s">
        <v>692</v>
      </c>
      <c r="J18" s="535">
        <f xml:space="preserve"> SUM(J13:J17)</f>
        <v>2750</v>
      </c>
      <c r="K18" s="28"/>
      <c r="L18" s="75">
        <f>SUM(L13:L17)</f>
        <v>0</v>
      </c>
      <c r="M18" s="51">
        <v>4</v>
      </c>
      <c r="N18" s="51"/>
      <c r="O18" s="523" t="s">
        <v>692</v>
      </c>
      <c r="P18" s="535">
        <f xml:space="preserve"> SUM(P13:P17)</f>
        <v>4100</v>
      </c>
      <c r="Q18" s="28"/>
      <c r="R18" s="75">
        <f>SUM(R13:R17)</f>
        <v>0</v>
      </c>
      <c r="S18" s="51">
        <v>4</v>
      </c>
      <c r="T18" s="51"/>
      <c r="U18" s="523" t="s">
        <v>692</v>
      </c>
      <c r="V18" s="535">
        <f xml:space="preserve"> SUM(V13:V17)</f>
        <v>1700</v>
      </c>
      <c r="W18" s="28"/>
      <c r="X18" s="75">
        <f>SUM(X13:X17)</f>
        <v>0</v>
      </c>
      <c r="Y18" s="51">
        <v>4</v>
      </c>
      <c r="Z18" s="51"/>
      <c r="AA18" s="702" t="s">
        <v>692</v>
      </c>
      <c r="AB18" s="535">
        <f>SUM(AB13:AB17)</f>
        <v>0</v>
      </c>
      <c r="AC18" s="28"/>
      <c r="AD18" s="92">
        <f>SUM(AD13:AD17)</f>
        <v>0</v>
      </c>
      <c r="AE18" s="524">
        <f>D18+J18+P18+V18+AB18</f>
        <v>11650</v>
      </c>
    </row>
    <row r="19" spans="1:31" ht="16.2" customHeight="1">
      <c r="A19" s="51"/>
      <c r="B19" s="51"/>
      <c r="C19" s="18"/>
      <c r="D19" s="20"/>
      <c r="F19" s="189"/>
      <c r="G19" s="51"/>
      <c r="H19" s="51"/>
      <c r="I19" s="18"/>
      <c r="J19" s="20"/>
      <c r="L19" s="189"/>
      <c r="M19" s="51"/>
      <c r="N19" s="51"/>
      <c r="O19" s="18"/>
      <c r="P19" s="20"/>
      <c r="R19" s="189"/>
      <c r="S19" s="51"/>
      <c r="T19" s="51"/>
      <c r="U19" s="18"/>
      <c r="V19" s="20"/>
      <c r="X19" s="189"/>
      <c r="Y19" s="51"/>
      <c r="Z19" s="51"/>
      <c r="AA19" s="18"/>
      <c r="AB19" s="20"/>
      <c r="AD19" s="527" t="s">
        <v>692</v>
      </c>
      <c r="AE19" s="93">
        <f>A泉大津市折込部数+M泉大津市折込部数+S泉大津市折込部数+Y泉大津市折込部数+AD18</f>
        <v>0</v>
      </c>
    </row>
    <row r="20" spans="1:31" ht="16.2" customHeight="1">
      <c r="A20" s="51">
        <v>2</v>
      </c>
      <c r="B20" s="488" t="s">
        <v>1443</v>
      </c>
      <c r="C20" s="46" t="s">
        <v>484</v>
      </c>
      <c r="F20" s="224"/>
      <c r="G20" s="51">
        <v>2</v>
      </c>
      <c r="H20" s="488" t="s">
        <v>1443</v>
      </c>
      <c r="I20" s="489"/>
      <c r="J20" s="489"/>
      <c r="K20" s="217"/>
      <c r="L20" s="224"/>
      <c r="M20" s="51">
        <v>2</v>
      </c>
      <c r="N20" s="488" t="s">
        <v>1443</v>
      </c>
      <c r="O20" s="489"/>
      <c r="P20" s="489"/>
      <c r="Q20" s="217"/>
      <c r="R20" s="224"/>
      <c r="S20" s="51">
        <v>2</v>
      </c>
      <c r="T20" s="488" t="s">
        <v>1443</v>
      </c>
      <c r="X20" s="224"/>
      <c r="Y20" s="51">
        <v>2</v>
      </c>
      <c r="Z20" s="488" t="s">
        <v>1443</v>
      </c>
      <c r="AA20" s="489"/>
      <c r="AB20" s="489"/>
      <c r="AD20" s="90"/>
      <c r="AE20" s="707"/>
    </row>
    <row r="21" spans="1:31" ht="16.2" customHeight="1">
      <c r="A21" s="51">
        <v>3</v>
      </c>
      <c r="B21" s="51">
        <v>72407</v>
      </c>
      <c r="C21" s="441" t="s">
        <v>485</v>
      </c>
      <c r="D21" s="3">
        <v>1600</v>
      </c>
      <c r="E21" s="177"/>
      <c r="F21" s="404"/>
      <c r="G21" s="51">
        <v>3</v>
      </c>
      <c r="H21" s="51">
        <v>73401</v>
      </c>
      <c r="I21" s="441" t="s">
        <v>485</v>
      </c>
      <c r="J21" s="3">
        <v>1600</v>
      </c>
      <c r="K21" s="162"/>
      <c r="L21" s="404"/>
      <c r="M21" s="51">
        <v>3</v>
      </c>
      <c r="N21" s="51">
        <v>75459</v>
      </c>
      <c r="O21" s="441" t="s">
        <v>485</v>
      </c>
      <c r="P21" s="3">
        <v>2250</v>
      </c>
      <c r="Q21" s="177"/>
      <c r="R21" s="404"/>
      <c r="S21" s="51">
        <v>3</v>
      </c>
      <c r="T21" s="51">
        <v>74527</v>
      </c>
      <c r="U21" s="349" t="s">
        <v>1634</v>
      </c>
      <c r="V21" s="3">
        <v>3000</v>
      </c>
      <c r="W21" s="177"/>
      <c r="X21" s="404"/>
      <c r="Y21" s="51">
        <v>3</v>
      </c>
      <c r="Z21" s="51"/>
      <c r="AA21" s="703"/>
      <c r="AB21" s="215"/>
      <c r="AC21" s="177"/>
      <c r="AD21" s="129"/>
      <c r="AE21" s="704"/>
    </row>
    <row r="22" spans="1:31" ht="16.2" customHeight="1">
      <c r="A22" s="51">
        <v>3</v>
      </c>
      <c r="B22" s="51"/>
      <c r="C22" s="692"/>
      <c r="D22" s="226"/>
      <c r="E22" s="198"/>
      <c r="F22" s="157"/>
      <c r="G22" s="51">
        <v>3</v>
      </c>
      <c r="H22" s="51">
        <v>73403</v>
      </c>
      <c r="I22" s="691" t="s">
        <v>746</v>
      </c>
      <c r="J22" s="705">
        <v>1900</v>
      </c>
      <c r="K22" s="146"/>
      <c r="L22" s="405"/>
      <c r="M22" s="51">
        <v>3</v>
      </c>
      <c r="N22" s="51"/>
      <c r="O22" s="692"/>
      <c r="P22" s="495"/>
      <c r="Q22" s="198"/>
      <c r="R22" s="157"/>
      <c r="S22" s="51">
        <v>3</v>
      </c>
      <c r="T22" s="51">
        <v>74529</v>
      </c>
      <c r="U22" s="691" t="s">
        <v>486</v>
      </c>
      <c r="V22" s="755" t="s">
        <v>1566</v>
      </c>
      <c r="W22" s="198"/>
      <c r="X22" s="405"/>
      <c r="Y22" s="51">
        <v>3</v>
      </c>
      <c r="Z22" s="51"/>
      <c r="AA22" s="694"/>
      <c r="AB22" s="678"/>
      <c r="AC22" s="254"/>
      <c r="AD22" s="161"/>
      <c r="AE22" s="706"/>
    </row>
    <row r="23" spans="1:31" ht="16.2" customHeight="1">
      <c r="A23" s="51">
        <v>3</v>
      </c>
      <c r="B23" s="51"/>
      <c r="C23" s="692"/>
      <c r="D23" s="226"/>
      <c r="E23" s="198"/>
      <c r="F23" s="157"/>
      <c r="G23" s="51">
        <v>3</v>
      </c>
      <c r="H23" s="51"/>
      <c r="I23" s="692"/>
      <c r="J23" s="226"/>
      <c r="K23" s="146"/>
      <c r="L23" s="157"/>
      <c r="M23" s="51">
        <v>3</v>
      </c>
      <c r="N23" s="51"/>
      <c r="O23" s="692"/>
      <c r="P23" s="495"/>
      <c r="Q23" s="198"/>
      <c r="R23" s="157"/>
      <c r="S23" s="51">
        <v>3</v>
      </c>
      <c r="T23" s="51">
        <v>74531</v>
      </c>
      <c r="U23" s="691" t="s">
        <v>487</v>
      </c>
      <c r="V23" s="755" t="s">
        <v>1566</v>
      </c>
      <c r="W23" s="198"/>
      <c r="X23" s="405"/>
      <c r="Y23" s="51">
        <v>3</v>
      </c>
      <c r="Z23" s="51"/>
      <c r="AA23" s="512"/>
      <c r="AB23" s="139"/>
      <c r="AC23" s="146"/>
      <c r="AD23" s="132"/>
      <c r="AE23" s="706"/>
    </row>
    <row r="24" spans="1:31" ht="16.2" customHeight="1">
      <c r="A24" s="51">
        <v>3</v>
      </c>
      <c r="B24" s="51"/>
      <c r="C24" s="692"/>
      <c r="D24" s="226"/>
      <c r="E24" s="198"/>
      <c r="F24" s="157"/>
      <c r="G24" s="51">
        <v>3</v>
      </c>
      <c r="H24" s="51"/>
      <c r="I24" s="692"/>
      <c r="J24" s="226"/>
      <c r="K24" s="146"/>
      <c r="L24" s="157"/>
      <c r="M24" s="51">
        <v>3</v>
      </c>
      <c r="N24" s="51"/>
      <c r="O24" s="692"/>
      <c r="P24" s="226"/>
      <c r="Q24" s="198"/>
      <c r="R24" s="157"/>
      <c r="S24" s="51">
        <v>3</v>
      </c>
      <c r="T24" s="51"/>
      <c r="U24" s="691"/>
      <c r="V24" s="705"/>
      <c r="W24" s="198"/>
      <c r="X24" s="157"/>
      <c r="Y24" s="51">
        <v>3</v>
      </c>
      <c r="Z24" s="51"/>
      <c r="AA24" s="512"/>
      <c r="AB24" s="139"/>
      <c r="AC24" s="146"/>
      <c r="AD24" s="132"/>
      <c r="AE24" s="706"/>
    </row>
    <row r="25" spans="1:31" ht="16.2" customHeight="1" thickBot="1">
      <c r="A25" s="51">
        <v>3</v>
      </c>
      <c r="B25" s="51"/>
      <c r="C25" s="512"/>
      <c r="D25" s="139"/>
      <c r="E25" s="146"/>
      <c r="F25" s="132"/>
      <c r="G25" s="51">
        <v>3</v>
      </c>
      <c r="H25" s="51"/>
      <c r="I25" s="512"/>
      <c r="J25" s="265"/>
      <c r="K25" s="146"/>
      <c r="L25" s="132"/>
      <c r="M25" s="51">
        <v>3</v>
      </c>
      <c r="N25" s="51"/>
      <c r="O25" s="512"/>
      <c r="P25" s="139"/>
      <c r="Q25" s="146"/>
      <c r="R25" s="132"/>
      <c r="S25" s="51">
        <v>3</v>
      </c>
      <c r="T25" s="51"/>
      <c r="U25" s="512"/>
      <c r="V25" s="139"/>
      <c r="W25" s="146"/>
      <c r="X25" s="132"/>
      <c r="Y25" s="51">
        <v>3</v>
      </c>
      <c r="Z25" s="51"/>
      <c r="AA25" s="520"/>
      <c r="AB25" s="208"/>
      <c r="AC25" s="138"/>
      <c r="AD25" s="133"/>
      <c r="AE25" s="706"/>
    </row>
    <row r="26" spans="1:31" ht="16.2" customHeight="1" thickTop="1">
      <c r="A26" s="51">
        <v>4</v>
      </c>
      <c r="B26" s="51"/>
      <c r="C26" s="523" t="s">
        <v>692</v>
      </c>
      <c r="D26" s="535">
        <f xml:space="preserve"> SUM(D21:D25)</f>
        <v>1600</v>
      </c>
      <c r="E26" s="28"/>
      <c r="F26" s="75">
        <f>SUM(F21:F25)</f>
        <v>0</v>
      </c>
      <c r="G26" s="51">
        <v>4</v>
      </c>
      <c r="H26" s="51"/>
      <c r="I26" s="523" t="s">
        <v>692</v>
      </c>
      <c r="J26" s="535">
        <f xml:space="preserve"> SUM(J21:J25)</f>
        <v>3500</v>
      </c>
      <c r="K26" s="28"/>
      <c r="L26" s="75">
        <f>SUM(L21:L25)</f>
        <v>0</v>
      </c>
      <c r="M26" s="51">
        <v>4</v>
      </c>
      <c r="N26" s="51"/>
      <c r="O26" s="523" t="s">
        <v>692</v>
      </c>
      <c r="P26" s="535">
        <f xml:space="preserve"> SUM(P21:P25)</f>
        <v>2250</v>
      </c>
      <c r="Q26" s="28"/>
      <c r="R26" s="75">
        <f>SUM(R21:R25)</f>
        <v>0</v>
      </c>
      <c r="S26" s="51">
        <v>4</v>
      </c>
      <c r="T26" s="51"/>
      <c r="U26" s="523" t="s">
        <v>692</v>
      </c>
      <c r="V26" s="535">
        <f xml:space="preserve"> SUM(V21:V25)</f>
        <v>3000</v>
      </c>
      <c r="W26" s="28"/>
      <c r="X26" s="75">
        <f>SUM(X21:X25)</f>
        <v>0</v>
      </c>
      <c r="Y26" s="51">
        <v>4</v>
      </c>
      <c r="Z26" s="51"/>
      <c r="AA26" s="523" t="s">
        <v>692</v>
      </c>
      <c r="AB26" s="535">
        <f>SUM(AB21:AB25)</f>
        <v>0</v>
      </c>
      <c r="AC26" s="28"/>
      <c r="AD26" s="92">
        <f>SUM(AD21:AD25)</f>
        <v>0</v>
      </c>
      <c r="AE26" s="524">
        <f>D26+J26+P26+V26+AB26</f>
        <v>10350</v>
      </c>
    </row>
    <row r="27" spans="1:31" ht="16.2" customHeight="1">
      <c r="A27" s="51"/>
      <c r="B27" s="51"/>
      <c r="C27" s="18"/>
      <c r="D27" s="20"/>
      <c r="F27" s="189"/>
      <c r="G27" s="51"/>
      <c r="H27" s="51"/>
      <c r="I27" s="18"/>
      <c r="J27" s="20"/>
      <c r="L27" s="189"/>
      <c r="M27" s="51"/>
      <c r="N27" s="51"/>
      <c r="O27" s="18"/>
      <c r="P27" s="20"/>
      <c r="R27" s="189"/>
      <c r="S27" s="51"/>
      <c r="T27" s="51"/>
      <c r="U27" s="18"/>
      <c r="V27" s="20"/>
      <c r="X27" s="189"/>
      <c r="Y27" s="51"/>
      <c r="Z27" s="51"/>
      <c r="AA27" s="18"/>
      <c r="AB27" s="20"/>
      <c r="AD27" s="527" t="s">
        <v>692</v>
      </c>
      <c r="AE27" s="93">
        <f>A高石市折込部数+M高石市折込部数+S高石市折込部数+Y高石市折込部数+AD26</f>
        <v>0</v>
      </c>
    </row>
    <row r="28" spans="1:31" ht="16.2" customHeight="1">
      <c r="A28" s="51">
        <v>2</v>
      </c>
      <c r="B28" s="488" t="s">
        <v>1444</v>
      </c>
      <c r="C28" s="46" t="s">
        <v>492</v>
      </c>
      <c r="F28" s="224"/>
      <c r="G28" s="51">
        <v>2</v>
      </c>
      <c r="H28" s="488" t="s">
        <v>1444</v>
      </c>
      <c r="I28" s="489"/>
      <c r="J28" s="489"/>
      <c r="K28" s="217"/>
      <c r="L28" s="224"/>
      <c r="M28" s="51">
        <v>2</v>
      </c>
      <c r="N28" s="488" t="s">
        <v>1444</v>
      </c>
      <c r="O28" s="489"/>
      <c r="P28" s="489"/>
      <c r="Q28" s="217"/>
      <c r="R28" s="489"/>
      <c r="S28" s="51">
        <v>2</v>
      </c>
      <c r="T28" s="488" t="s">
        <v>1444</v>
      </c>
      <c r="U28" s="489"/>
      <c r="V28" s="489"/>
      <c r="W28" s="217"/>
      <c r="X28" s="489"/>
      <c r="Y28" s="51">
        <v>2</v>
      </c>
      <c r="Z28" s="488" t="s">
        <v>1444</v>
      </c>
      <c r="AA28" s="489"/>
      <c r="AB28" s="217"/>
      <c r="AC28"/>
      <c r="AD28" s="90"/>
      <c r="AE28" s="707"/>
    </row>
    <row r="29" spans="1:31" ht="16.2" customHeight="1">
      <c r="A29" s="51">
        <v>3</v>
      </c>
      <c r="B29" s="51"/>
      <c r="C29" s="703"/>
      <c r="D29" s="215"/>
      <c r="E29" s="177"/>
      <c r="F29" s="129"/>
      <c r="G29" s="51">
        <v>3</v>
      </c>
      <c r="H29" s="51"/>
      <c r="I29" s="441"/>
      <c r="J29" s="756"/>
      <c r="K29" s="162"/>
      <c r="L29" s="403"/>
      <c r="M29" s="51">
        <v>3</v>
      </c>
      <c r="N29" s="51">
        <v>75461</v>
      </c>
      <c r="O29" s="441" t="s">
        <v>488</v>
      </c>
      <c r="P29" s="708">
        <v>650</v>
      </c>
      <c r="Q29" s="162"/>
      <c r="R29" s="403"/>
      <c r="S29" s="51">
        <v>3</v>
      </c>
      <c r="T29" s="51"/>
      <c r="U29" s="441"/>
      <c r="V29" s="3"/>
      <c r="W29" s="177"/>
      <c r="X29" s="129"/>
      <c r="Y29" s="51">
        <v>3</v>
      </c>
      <c r="Z29" s="51"/>
      <c r="AA29" s="709"/>
      <c r="AB29" s="710"/>
      <c r="AC29" s="162"/>
      <c r="AD29" s="160"/>
      <c r="AE29" s="704"/>
    </row>
    <row r="30" spans="1:31" ht="16.2" customHeight="1" thickBot="1">
      <c r="A30" s="51">
        <v>3</v>
      </c>
      <c r="B30" s="51"/>
      <c r="C30" s="512"/>
      <c r="D30" s="139"/>
      <c r="E30" s="146"/>
      <c r="F30" s="161"/>
      <c r="G30" s="51">
        <v>3</v>
      </c>
      <c r="H30" s="51"/>
      <c r="I30" s="701"/>
      <c r="J30" s="209"/>
      <c r="K30" s="253"/>
      <c r="L30" s="134"/>
      <c r="M30" s="51">
        <v>3</v>
      </c>
      <c r="N30" s="51"/>
      <c r="O30" s="701"/>
      <c r="P30" s="209"/>
      <c r="Q30" s="253"/>
      <c r="R30" s="134"/>
      <c r="S30" s="51">
        <v>3</v>
      </c>
      <c r="T30" s="51"/>
      <c r="U30" s="701"/>
      <c r="V30" s="209"/>
      <c r="W30" s="253"/>
      <c r="X30" s="134"/>
      <c r="Y30" s="51">
        <v>3</v>
      </c>
      <c r="Z30" s="51"/>
      <c r="AA30" s="701"/>
      <c r="AB30" s="209"/>
      <c r="AC30" s="253"/>
      <c r="AD30" s="258"/>
      <c r="AE30" s="711"/>
    </row>
    <row r="31" spans="1:31" ht="16.2" customHeight="1" thickTop="1">
      <c r="A31" s="51">
        <v>4</v>
      </c>
      <c r="B31" s="51"/>
      <c r="C31" s="523" t="s">
        <v>692</v>
      </c>
      <c r="D31" s="535">
        <f>SUM(D29:D30)</f>
        <v>0</v>
      </c>
      <c r="E31" s="28"/>
      <c r="F31" s="75">
        <f>SUM(F29:F30)</f>
        <v>0</v>
      </c>
      <c r="G31" s="51">
        <v>4</v>
      </c>
      <c r="H31" s="51"/>
      <c r="I31" s="712" t="s">
        <v>692</v>
      </c>
      <c r="J31" s="713">
        <f>SUM(J29:J30)</f>
        <v>0</v>
      </c>
      <c r="K31" s="255"/>
      <c r="L31" s="256">
        <f>SUM(L29:L30)</f>
        <v>0</v>
      </c>
      <c r="M31" s="51">
        <v>4</v>
      </c>
      <c r="N31" s="51"/>
      <c r="O31" s="712" t="s">
        <v>692</v>
      </c>
      <c r="P31" s="713">
        <f>SUM(P29:P30)</f>
        <v>650</v>
      </c>
      <c r="Q31" s="255"/>
      <c r="R31" s="256">
        <f>SUM(R29:R30)</f>
        <v>0</v>
      </c>
      <c r="S31" s="51">
        <v>4</v>
      </c>
      <c r="T31" s="51"/>
      <c r="U31" s="712" t="s">
        <v>692</v>
      </c>
      <c r="V31" s="713">
        <f>SUM(V29:V30)</f>
        <v>0</v>
      </c>
      <c r="W31" s="255"/>
      <c r="X31" s="256">
        <f>SUM(X29:X30)</f>
        <v>0</v>
      </c>
      <c r="Y31" s="51">
        <v>4</v>
      </c>
      <c r="Z31" s="51"/>
      <c r="AA31" s="712" t="s">
        <v>692</v>
      </c>
      <c r="AB31" s="713">
        <f>SUM(AB29:AB30)</f>
        <v>0</v>
      </c>
      <c r="AC31" s="255"/>
      <c r="AD31" s="257">
        <f>SUM(AD29:AD30)</f>
        <v>0</v>
      </c>
      <c r="AE31" s="707">
        <f>D31+J31+P31+V31+AB31</f>
        <v>650</v>
      </c>
    </row>
    <row r="32" spans="1:31" ht="16.2" customHeight="1">
      <c r="A32" s="51">
        <v>9</v>
      </c>
      <c r="B32" s="51"/>
      <c r="C32" s="13"/>
      <c r="D32" s="13"/>
      <c r="E32" s="13"/>
      <c r="F32" s="13"/>
      <c r="G32" s="51">
        <v>9</v>
      </c>
      <c r="H32" s="51"/>
      <c r="I32" s="13"/>
      <c r="K32" s="13"/>
      <c r="L32" s="13"/>
      <c r="M32" s="51">
        <v>9</v>
      </c>
      <c r="N32" s="51"/>
      <c r="O32" s="489"/>
      <c r="P32" s="489"/>
      <c r="Q32" s="217"/>
      <c r="R32" s="224"/>
      <c r="S32" s="51">
        <v>9</v>
      </c>
      <c r="T32" s="51"/>
      <c r="U32" s="489"/>
      <c r="V32" s="489"/>
      <c r="W32" s="217"/>
      <c r="X32" s="224"/>
      <c r="Y32" s="51">
        <v>9</v>
      </c>
      <c r="Z32" s="51"/>
      <c r="AA32" s="489"/>
      <c r="AB32" s="489"/>
      <c r="AC32" s="217"/>
      <c r="AD32" s="527" t="s">
        <v>692</v>
      </c>
      <c r="AE32" s="100">
        <f>A泉北郡折込部数+M泉北郡折込部数+S泉北郡折込部数+Y泉北郡折込部数+AD31</f>
        <v>0</v>
      </c>
    </row>
    <row r="33" spans="3:31" ht="16.2" customHeight="1">
      <c r="L33" s="224"/>
      <c r="M33" s="224"/>
      <c r="N33" s="224"/>
      <c r="O33" s="489"/>
      <c r="P33" s="489"/>
      <c r="Q33" s="217"/>
      <c r="R33" s="224"/>
      <c r="S33" s="224"/>
      <c r="T33" s="224"/>
      <c r="U33" s="489"/>
      <c r="V33" s="489"/>
      <c r="W33" s="217"/>
      <c r="X33" s="224"/>
      <c r="Y33" s="224"/>
      <c r="Z33" s="224"/>
      <c r="AA33" s="489"/>
      <c r="AB33" s="489"/>
      <c r="AC33" s="217"/>
      <c r="AD33" s="224"/>
      <c r="AE33" s="489"/>
    </row>
    <row r="34" spans="3:31" ht="16.2" customHeight="1">
      <c r="C34" s="489"/>
      <c r="D34" s="489"/>
      <c r="E34" s="217"/>
      <c r="F34" s="224"/>
      <c r="G34" s="224"/>
      <c r="H34" s="224"/>
      <c r="I34" s="489"/>
      <c r="J34" s="489"/>
      <c r="K34" s="217"/>
      <c r="L34" s="224"/>
      <c r="M34" s="224"/>
      <c r="N34" s="224"/>
      <c r="O34" s="489"/>
      <c r="P34" s="489"/>
      <c r="Q34" s="217"/>
      <c r="R34" s="224"/>
      <c r="S34" s="224"/>
      <c r="T34" s="224"/>
      <c r="U34" s="489"/>
      <c r="V34" s="489"/>
      <c r="W34" s="217"/>
      <c r="X34" s="224"/>
      <c r="Y34" s="224"/>
      <c r="Z34" s="224"/>
      <c r="AA34" s="489"/>
      <c r="AB34" s="489"/>
      <c r="AC34" s="217"/>
      <c r="AD34" s="224"/>
      <c r="AE34" s="489"/>
    </row>
    <row r="35" spans="3:31" ht="16.2" customHeight="1">
      <c r="C35" s="489"/>
      <c r="D35" s="489"/>
      <c r="E35" s="217"/>
      <c r="F35" s="224"/>
      <c r="G35" s="224"/>
      <c r="H35" s="224"/>
      <c r="I35" s="489"/>
      <c r="J35" s="489"/>
      <c r="K35" s="217"/>
      <c r="L35" s="224"/>
      <c r="M35" s="224"/>
      <c r="N35" s="224"/>
      <c r="O35" s="489"/>
      <c r="P35" s="489"/>
      <c r="Q35" s="217"/>
      <c r="R35" s="224"/>
      <c r="S35" s="224"/>
      <c r="T35" s="224"/>
      <c r="U35" s="489"/>
      <c r="V35" s="489"/>
      <c r="W35" s="217"/>
      <c r="X35" s="224"/>
      <c r="Y35" s="224"/>
      <c r="Z35" s="224"/>
      <c r="AA35" s="489"/>
      <c r="AB35" s="489"/>
      <c r="AC35" s="217"/>
      <c r="AD35" s="224"/>
      <c r="AE35" s="489"/>
    </row>
    <row r="36" spans="3:31" ht="16.2" customHeight="1">
      <c r="C36" s="489"/>
      <c r="D36" s="489"/>
      <c r="E36" s="217"/>
      <c r="F36" s="224"/>
      <c r="G36" s="224"/>
      <c r="H36" s="224"/>
      <c r="I36" s="489"/>
      <c r="J36" s="489"/>
      <c r="K36" s="217"/>
      <c r="L36" s="224"/>
      <c r="M36" s="224"/>
      <c r="N36" s="224"/>
      <c r="O36" s="489"/>
      <c r="P36" s="489"/>
      <c r="Q36" s="217"/>
      <c r="R36" s="224"/>
      <c r="S36" s="224"/>
      <c r="T36" s="224"/>
      <c r="U36" s="489"/>
      <c r="V36" s="489"/>
      <c r="W36" s="217"/>
      <c r="X36" s="224"/>
      <c r="Y36" s="224"/>
      <c r="Z36" s="224"/>
      <c r="AA36" s="489"/>
      <c r="AB36" s="489"/>
      <c r="AC36" s="217"/>
      <c r="AD36" s="224"/>
      <c r="AE36" s="489"/>
    </row>
    <row r="37" spans="3:31" ht="16.2" customHeight="1">
      <c r="C37" s="489"/>
      <c r="D37" s="489"/>
      <c r="E37" s="217"/>
      <c r="F37" s="224"/>
      <c r="G37" s="224"/>
      <c r="H37" s="224"/>
      <c r="I37" s="489"/>
      <c r="J37" s="489"/>
      <c r="K37" s="217"/>
      <c r="L37" s="224"/>
      <c r="M37" s="224"/>
      <c r="N37" s="224"/>
      <c r="O37" s="489"/>
      <c r="P37" s="489"/>
      <c r="Q37" s="217"/>
      <c r="R37" s="224"/>
      <c r="S37" s="224"/>
      <c r="T37" s="224"/>
      <c r="U37" s="489"/>
      <c r="V37" s="489"/>
      <c r="W37" s="217"/>
      <c r="X37" s="224"/>
      <c r="Y37" s="224"/>
      <c r="Z37" s="224"/>
      <c r="AA37" s="489"/>
      <c r="AB37" s="489"/>
      <c r="AC37" s="217"/>
      <c r="AD37" s="224"/>
      <c r="AE37" s="489"/>
    </row>
    <row r="38" spans="3:31" ht="16.2" customHeight="1">
      <c r="C38" s="489"/>
      <c r="D38" s="489"/>
      <c r="E38" s="217"/>
      <c r="F38" s="224"/>
      <c r="G38" s="224"/>
      <c r="H38" s="224"/>
      <c r="I38" s="489"/>
      <c r="J38" s="489"/>
      <c r="K38" s="217"/>
      <c r="L38" s="224"/>
      <c r="M38" s="224"/>
      <c r="N38" s="224"/>
      <c r="O38" s="489"/>
      <c r="P38" s="489"/>
      <c r="Q38" s="217"/>
      <c r="R38" s="224"/>
      <c r="S38" s="224"/>
      <c r="T38" s="224"/>
      <c r="U38" s="489"/>
      <c r="V38" s="489"/>
      <c r="W38" s="217"/>
      <c r="X38" s="224"/>
      <c r="Y38" s="224"/>
      <c r="Z38" s="224"/>
      <c r="AA38" s="489"/>
      <c r="AB38" s="489"/>
      <c r="AC38" s="217"/>
      <c r="AD38" s="224"/>
      <c r="AE38" s="489"/>
    </row>
    <row r="39" spans="3:31" ht="16.2" customHeight="1">
      <c r="C39" s="489"/>
      <c r="D39" s="489"/>
      <c r="E39" s="217"/>
      <c r="F39" s="224"/>
      <c r="G39" s="224"/>
      <c r="H39" s="224"/>
      <c r="I39" s="489"/>
      <c r="J39" s="489"/>
      <c r="K39" s="217"/>
      <c r="L39" s="224"/>
      <c r="M39" s="224"/>
      <c r="N39" s="224"/>
      <c r="O39" s="489"/>
      <c r="P39" s="489"/>
      <c r="Q39" s="217"/>
      <c r="R39" s="224"/>
      <c r="S39" s="224"/>
      <c r="T39" s="224"/>
      <c r="U39" s="489"/>
      <c r="V39" s="489"/>
      <c r="W39" s="217"/>
      <c r="X39" s="224"/>
      <c r="Y39" s="224"/>
      <c r="Z39" s="224"/>
      <c r="AA39" s="489"/>
      <c r="AB39" s="489"/>
      <c r="AC39" s="217"/>
      <c r="AD39" s="224"/>
      <c r="AE39" s="489"/>
    </row>
    <row r="40" spans="3:31" ht="16.2" customHeight="1">
      <c r="C40" s="489"/>
      <c r="D40" s="489"/>
      <c r="E40" s="217"/>
      <c r="F40" s="224"/>
      <c r="G40" s="224"/>
      <c r="H40" s="224"/>
      <c r="I40" s="489"/>
      <c r="J40" s="489"/>
      <c r="K40" s="217"/>
      <c r="L40" s="224"/>
      <c r="M40" s="224"/>
      <c r="N40" s="224"/>
      <c r="O40" s="489"/>
      <c r="P40" s="489"/>
      <c r="Q40" s="217"/>
      <c r="R40" s="224"/>
      <c r="S40" s="224"/>
      <c r="T40" s="224"/>
      <c r="U40" s="489"/>
      <c r="V40" s="489"/>
      <c r="W40" s="217"/>
      <c r="X40" s="224"/>
      <c r="Y40" s="224"/>
      <c r="Z40" s="224"/>
      <c r="AA40" s="489"/>
      <c r="AB40" s="489"/>
      <c r="AC40" s="217"/>
      <c r="AD40" s="224"/>
      <c r="AE40" s="489"/>
    </row>
    <row r="41" spans="3:31" ht="16.2" customHeight="1">
      <c r="C41" s="489"/>
      <c r="D41" s="489"/>
      <c r="E41" s="217"/>
      <c r="F41" s="224"/>
      <c r="G41" s="224"/>
      <c r="H41" s="224"/>
      <c r="I41" s="489"/>
      <c r="J41" s="489"/>
      <c r="K41" s="217"/>
      <c r="L41" s="224"/>
      <c r="M41" s="224"/>
      <c r="N41" s="224"/>
      <c r="O41" s="489"/>
      <c r="P41" s="489"/>
      <c r="Q41" s="217"/>
      <c r="R41" s="224"/>
      <c r="S41" s="224"/>
      <c r="T41" s="224"/>
      <c r="U41" s="489"/>
      <c r="V41" s="489"/>
      <c r="W41" s="217"/>
      <c r="X41" s="224"/>
      <c r="Y41" s="224"/>
      <c r="Z41" s="224"/>
      <c r="AA41" s="489"/>
      <c r="AB41" s="489"/>
      <c r="AC41" s="217"/>
      <c r="AD41" s="224"/>
      <c r="AE41" s="489"/>
    </row>
    <row r="42" spans="3:31" ht="16.2" customHeight="1">
      <c r="C42" s="489"/>
      <c r="D42" s="489"/>
      <c r="E42" s="217"/>
      <c r="F42" s="224"/>
      <c r="G42" s="224"/>
      <c r="H42" s="224"/>
      <c r="I42" s="489"/>
      <c r="J42" s="489"/>
      <c r="K42" s="217"/>
      <c r="L42" s="224"/>
      <c r="M42" s="224"/>
      <c r="N42" s="224"/>
      <c r="O42" s="489"/>
      <c r="P42" s="489"/>
      <c r="Q42" s="217"/>
      <c r="R42" s="224"/>
      <c r="S42" s="224"/>
      <c r="T42" s="224"/>
      <c r="U42" s="489"/>
      <c r="V42" s="489"/>
      <c r="W42" s="217"/>
      <c r="X42" s="224"/>
      <c r="Y42" s="224"/>
      <c r="Z42" s="224"/>
      <c r="AA42" s="489"/>
      <c r="AB42" s="489"/>
      <c r="AC42" s="217"/>
      <c r="AD42" s="224"/>
      <c r="AE42" s="489"/>
    </row>
    <row r="43" spans="3:31" ht="16.2" customHeight="1">
      <c r="C43" s="489"/>
      <c r="D43" s="489"/>
      <c r="E43" s="217"/>
      <c r="F43" s="224"/>
      <c r="G43" s="224"/>
      <c r="H43" s="224"/>
      <c r="I43" s="489"/>
      <c r="J43" s="489"/>
      <c r="K43" s="217"/>
      <c r="L43" s="224"/>
      <c r="M43" s="224"/>
      <c r="N43" s="224"/>
      <c r="O43" s="489"/>
      <c r="P43" s="489"/>
      <c r="Q43" s="217"/>
      <c r="R43" s="224"/>
      <c r="S43" s="224"/>
      <c r="T43" s="224"/>
      <c r="U43" s="489"/>
      <c r="V43" s="489"/>
      <c r="W43" s="217"/>
      <c r="X43" s="224"/>
      <c r="Y43" s="224"/>
      <c r="Z43" s="224"/>
      <c r="AA43" s="489"/>
      <c r="AB43" s="489"/>
      <c r="AC43" s="217"/>
      <c r="AD43" s="224"/>
      <c r="AE43" s="489"/>
    </row>
    <row r="44" spans="3:31" ht="16.2" customHeight="1">
      <c r="C44" s="489"/>
      <c r="D44" s="489"/>
      <c r="E44" s="217"/>
      <c r="F44" s="224"/>
      <c r="G44" s="224"/>
      <c r="H44" s="224"/>
      <c r="I44" s="489"/>
      <c r="J44" s="489"/>
      <c r="K44" s="217"/>
      <c r="L44" s="224"/>
      <c r="M44" s="224"/>
      <c r="N44" s="224"/>
      <c r="O44" s="489"/>
      <c r="P44" s="489"/>
      <c r="Q44" s="217"/>
      <c r="R44" s="224"/>
      <c r="S44" s="224"/>
      <c r="T44" s="224"/>
      <c r="U44" s="489"/>
      <c r="V44" s="489"/>
      <c r="W44" s="217"/>
      <c r="X44" s="224"/>
      <c r="Y44" s="224"/>
      <c r="Z44" s="224"/>
      <c r="AA44" s="489"/>
      <c r="AB44" s="489"/>
      <c r="AC44" s="217"/>
      <c r="AD44" s="224"/>
      <c r="AE44" s="489"/>
    </row>
    <row r="45" spans="3:31" ht="16.2" customHeight="1">
      <c r="C45" s="489"/>
      <c r="D45" s="489"/>
      <c r="E45" s="217"/>
      <c r="F45" s="224"/>
      <c r="G45" s="224"/>
      <c r="H45" s="224"/>
      <c r="I45" s="489"/>
      <c r="J45" s="489"/>
      <c r="K45" s="217"/>
      <c r="L45" s="224"/>
      <c r="M45" s="224"/>
      <c r="N45" s="224"/>
      <c r="O45" s="489"/>
      <c r="P45" s="489"/>
      <c r="Q45" s="217"/>
      <c r="R45" s="224"/>
      <c r="S45" s="224"/>
      <c r="T45" s="224"/>
      <c r="U45" s="489"/>
      <c r="V45" s="489"/>
      <c r="W45" s="217"/>
      <c r="X45" s="224"/>
      <c r="Y45" s="224"/>
      <c r="Z45" s="224"/>
      <c r="AA45" s="489"/>
      <c r="AB45" s="489"/>
      <c r="AC45" s="217"/>
      <c r="AD45" s="224"/>
      <c r="AE45" s="489"/>
    </row>
    <row r="46" spans="3:31" ht="16.2" customHeight="1">
      <c r="C46" s="489"/>
      <c r="D46" s="489"/>
      <c r="E46" s="217"/>
      <c r="F46" s="224"/>
      <c r="G46" s="224"/>
      <c r="H46" s="224"/>
      <c r="I46" s="489"/>
      <c r="J46" s="489"/>
      <c r="K46" s="217"/>
      <c r="L46" s="224"/>
      <c r="M46" s="224"/>
      <c r="N46" s="224"/>
      <c r="O46" s="489"/>
      <c r="P46" s="489"/>
      <c r="Q46" s="217"/>
      <c r="R46" s="224"/>
      <c r="S46" s="224"/>
      <c r="T46" s="224"/>
      <c r="U46" s="489"/>
      <c r="V46" s="489"/>
      <c r="W46" s="217"/>
      <c r="X46" s="224"/>
      <c r="Y46" s="224"/>
      <c r="Z46" s="224"/>
      <c r="AA46" s="489"/>
      <c r="AB46" s="489"/>
      <c r="AC46" s="217"/>
      <c r="AD46" s="224"/>
      <c r="AE46" s="489"/>
    </row>
    <row r="47" spans="3:31" ht="16.2" customHeight="1">
      <c r="C47" s="489"/>
      <c r="D47" s="489"/>
      <c r="E47" s="217"/>
      <c r="F47" s="224"/>
      <c r="G47" s="224"/>
      <c r="H47" s="224"/>
      <c r="I47" s="489"/>
      <c r="J47" s="489"/>
      <c r="K47" s="217"/>
      <c r="L47" s="224"/>
      <c r="M47" s="224"/>
      <c r="N47" s="224"/>
      <c r="O47" s="489"/>
      <c r="P47" s="489"/>
      <c r="Q47" s="217"/>
      <c r="R47" s="224"/>
      <c r="S47" s="224"/>
      <c r="T47" s="224"/>
      <c r="U47" s="489"/>
      <c r="V47" s="489"/>
      <c r="W47" s="217"/>
      <c r="X47" s="224"/>
      <c r="Y47" s="224"/>
      <c r="Z47" s="224"/>
      <c r="AA47" s="489"/>
      <c r="AB47" s="489"/>
      <c r="AC47" s="217"/>
      <c r="AD47" s="224"/>
      <c r="AE47" s="489"/>
    </row>
    <row r="48" spans="3:31" ht="16.2" customHeight="1">
      <c r="C48" s="489"/>
      <c r="D48" s="489"/>
      <c r="E48" s="217"/>
      <c r="F48" s="224"/>
      <c r="G48" s="224"/>
      <c r="H48" s="224"/>
      <c r="I48" s="489"/>
      <c r="J48" s="489"/>
      <c r="K48" s="217"/>
      <c r="L48" s="224"/>
      <c r="M48" s="224"/>
      <c r="N48" s="224"/>
      <c r="O48" s="489"/>
      <c r="P48" s="489"/>
      <c r="Q48" s="217"/>
      <c r="R48" s="224"/>
      <c r="S48" s="224"/>
      <c r="T48" s="224"/>
      <c r="U48" s="489"/>
      <c r="V48" s="489"/>
      <c r="W48" s="217"/>
      <c r="X48" s="224"/>
      <c r="Y48" s="224"/>
      <c r="Z48" s="224"/>
      <c r="AA48" s="489"/>
      <c r="AB48" s="489"/>
      <c r="AC48" s="217"/>
      <c r="AD48" s="224"/>
      <c r="AE48" s="489"/>
    </row>
    <row r="49" spans="3:31" ht="16.2" customHeight="1">
      <c r="C49" s="489"/>
      <c r="D49" s="489"/>
      <c r="E49" s="217"/>
      <c r="F49" s="224"/>
      <c r="G49" s="224"/>
      <c r="H49" s="224"/>
      <c r="I49" s="489"/>
      <c r="J49" s="489"/>
      <c r="K49" s="217"/>
      <c r="L49" s="224"/>
      <c r="M49" s="224"/>
      <c r="N49" s="224"/>
      <c r="O49" s="489"/>
      <c r="P49" s="489"/>
      <c r="Q49" s="217"/>
      <c r="R49" s="224"/>
      <c r="S49" s="224"/>
      <c r="T49" s="224"/>
      <c r="U49" s="489"/>
      <c r="V49" s="489"/>
      <c r="W49" s="217"/>
      <c r="X49" s="224"/>
      <c r="Y49" s="224"/>
      <c r="Z49" s="224"/>
      <c r="AA49" s="489"/>
      <c r="AB49" s="489"/>
      <c r="AC49" s="217"/>
      <c r="AD49" s="224"/>
      <c r="AE49" s="489"/>
    </row>
    <row r="50" spans="3:31" ht="16.2" customHeight="1">
      <c r="C50" s="489"/>
      <c r="D50" s="489"/>
      <c r="E50" s="217"/>
      <c r="F50" s="224"/>
      <c r="G50" s="224"/>
      <c r="H50" s="224"/>
      <c r="I50" s="489"/>
      <c r="J50" s="489"/>
      <c r="K50" s="217"/>
      <c r="L50" s="224"/>
      <c r="M50" s="224"/>
      <c r="N50" s="224"/>
      <c r="O50" s="489"/>
      <c r="P50" s="489"/>
      <c r="Q50" s="217"/>
      <c r="R50" s="224"/>
      <c r="S50" s="224"/>
      <c r="T50" s="224"/>
      <c r="U50" s="489"/>
      <c r="V50" s="489"/>
      <c r="W50" s="217"/>
      <c r="X50" s="224"/>
      <c r="Y50" s="224"/>
      <c r="Z50" s="224"/>
      <c r="AA50" s="489"/>
      <c r="AB50" s="489"/>
      <c r="AC50" s="217"/>
      <c r="AD50" s="224"/>
      <c r="AE50" s="489"/>
    </row>
    <row r="51" spans="3:31" ht="16.2" customHeight="1">
      <c r="C51" s="489"/>
      <c r="D51" s="489"/>
      <c r="E51" s="217"/>
      <c r="F51" s="224"/>
      <c r="G51" s="224"/>
      <c r="H51" s="224"/>
      <c r="I51" s="489"/>
      <c r="J51" s="489"/>
      <c r="K51" s="217"/>
      <c r="L51" s="224"/>
      <c r="M51" s="224"/>
      <c r="N51" s="224"/>
      <c r="O51" s="489"/>
      <c r="P51" s="489"/>
      <c r="Q51" s="217"/>
      <c r="R51" s="224"/>
      <c r="S51" s="224"/>
      <c r="T51" s="224"/>
      <c r="U51" s="489"/>
      <c r="V51" s="489"/>
      <c r="W51" s="217"/>
      <c r="X51" s="224"/>
      <c r="Y51" s="224"/>
      <c r="Z51" s="224"/>
      <c r="AA51" s="489"/>
      <c r="AB51" s="489"/>
      <c r="AC51" s="217"/>
      <c r="AD51" s="224"/>
      <c r="AE51" s="489"/>
    </row>
    <row r="52" spans="3:31" ht="16.2" customHeight="1">
      <c r="C52" s="489"/>
      <c r="D52" s="489"/>
      <c r="E52" s="217"/>
      <c r="F52" s="224"/>
      <c r="G52" s="224"/>
      <c r="H52" s="224"/>
      <c r="I52" s="489"/>
      <c r="J52" s="489"/>
      <c r="K52" s="217"/>
      <c r="L52" s="224"/>
      <c r="M52" s="224"/>
      <c r="N52" s="224"/>
      <c r="O52" s="489"/>
      <c r="P52" s="489"/>
      <c r="Q52" s="217"/>
      <c r="R52" s="224"/>
      <c r="S52" s="224"/>
      <c r="T52" s="224"/>
      <c r="U52" s="489"/>
      <c r="V52" s="489"/>
      <c r="W52" s="217"/>
      <c r="X52" s="224"/>
      <c r="Y52" s="224"/>
      <c r="Z52" s="224"/>
      <c r="AA52" s="489"/>
      <c r="AB52" s="489"/>
      <c r="AC52" s="217"/>
      <c r="AD52" s="224"/>
      <c r="AE52" s="489"/>
    </row>
    <row r="53" spans="3:31" ht="16.2" customHeight="1">
      <c r="C53" s="489"/>
      <c r="D53" s="489"/>
      <c r="E53" s="217"/>
      <c r="F53" s="224"/>
      <c r="G53" s="224"/>
      <c r="H53" s="224"/>
      <c r="I53" s="489"/>
      <c r="J53" s="489"/>
      <c r="K53" s="217"/>
      <c r="L53" s="224"/>
      <c r="M53" s="224"/>
      <c r="N53" s="224"/>
      <c r="O53" s="489"/>
      <c r="P53" s="489"/>
      <c r="Q53" s="217"/>
      <c r="R53" s="224"/>
      <c r="S53" s="224"/>
      <c r="T53" s="224"/>
      <c r="U53" s="489"/>
      <c r="V53" s="489"/>
      <c r="W53" s="217"/>
      <c r="X53" s="224"/>
      <c r="Y53" s="224"/>
      <c r="Z53" s="224"/>
      <c r="AA53" s="489"/>
      <c r="AB53" s="489"/>
      <c r="AC53" s="217"/>
      <c r="AD53" s="224"/>
      <c r="AE53" s="489"/>
    </row>
    <row r="54" spans="3:31" ht="16.2" customHeight="1">
      <c r="C54" s="489"/>
      <c r="D54" s="489"/>
      <c r="E54" s="217"/>
      <c r="F54" s="224"/>
      <c r="G54" s="224"/>
      <c r="H54" s="224"/>
      <c r="I54" s="489"/>
      <c r="J54" s="489"/>
      <c r="K54" s="217"/>
      <c r="L54" s="224"/>
      <c r="M54" s="224"/>
      <c r="N54" s="224"/>
      <c r="O54" s="489"/>
      <c r="P54" s="489"/>
      <c r="Q54" s="217"/>
      <c r="R54" s="224"/>
      <c r="S54" s="224"/>
      <c r="T54" s="224"/>
      <c r="U54" s="489"/>
      <c r="V54" s="489"/>
      <c r="W54" s="217"/>
      <c r="X54" s="224"/>
      <c r="Y54" s="224"/>
      <c r="Z54" s="224"/>
      <c r="AA54" s="489"/>
      <c r="AB54" s="489"/>
      <c r="AC54" s="217"/>
      <c r="AD54" s="224"/>
      <c r="AE54" s="489"/>
    </row>
    <row r="55" spans="3:31" ht="16.2" customHeight="1">
      <c r="C55" s="489"/>
      <c r="D55" s="489"/>
      <c r="E55" s="217"/>
      <c r="F55" s="224"/>
      <c r="G55" s="224"/>
      <c r="H55" s="224"/>
      <c r="I55" s="489"/>
      <c r="J55" s="489"/>
      <c r="K55" s="217"/>
      <c r="L55" s="224"/>
      <c r="M55" s="224"/>
      <c r="N55" s="224"/>
      <c r="O55" s="489"/>
      <c r="P55" s="489"/>
      <c r="Q55" s="217"/>
      <c r="R55" s="224"/>
      <c r="S55" s="224"/>
      <c r="T55" s="224"/>
      <c r="U55" s="489"/>
      <c r="V55" s="489"/>
      <c r="W55" s="217"/>
      <c r="X55" s="224"/>
      <c r="Y55" s="224"/>
      <c r="Z55" s="224"/>
      <c r="AA55" s="489"/>
      <c r="AB55" s="489"/>
      <c r="AC55" s="217"/>
      <c r="AD55" s="224"/>
      <c r="AE55" s="489"/>
    </row>
    <row r="56" spans="3:31" ht="16.2" customHeight="1">
      <c r="C56" s="489"/>
      <c r="D56" s="489"/>
      <c r="E56" s="217"/>
      <c r="F56" s="224"/>
      <c r="G56" s="224"/>
      <c r="H56" s="224"/>
      <c r="I56" s="489"/>
      <c r="J56" s="489"/>
      <c r="K56" s="217"/>
      <c r="L56" s="224"/>
      <c r="M56" s="224"/>
      <c r="N56" s="224"/>
      <c r="O56" s="489"/>
      <c r="P56" s="489"/>
      <c r="Q56" s="217"/>
      <c r="R56" s="224"/>
      <c r="S56" s="224"/>
      <c r="T56" s="224"/>
      <c r="U56" s="489"/>
      <c r="V56" s="489"/>
      <c r="W56" s="217"/>
      <c r="X56" s="224"/>
      <c r="Y56" s="224"/>
      <c r="Z56" s="224"/>
      <c r="AA56" s="489"/>
      <c r="AB56" s="489"/>
      <c r="AC56" s="217"/>
      <c r="AD56" s="224"/>
      <c r="AE56" s="489"/>
    </row>
    <row r="57" spans="3:31" ht="16.2" customHeight="1">
      <c r="C57" s="489"/>
      <c r="D57" s="489"/>
      <c r="E57" s="217"/>
      <c r="F57" s="224"/>
      <c r="G57" s="224"/>
      <c r="H57" s="224"/>
      <c r="I57" s="489"/>
      <c r="J57" s="489"/>
      <c r="K57" s="217"/>
      <c r="L57" s="224"/>
      <c r="M57" s="224"/>
      <c r="N57" s="224"/>
      <c r="O57" s="489"/>
      <c r="P57" s="489"/>
      <c r="Q57" s="217"/>
      <c r="R57" s="224"/>
      <c r="S57" s="224"/>
      <c r="T57" s="224"/>
      <c r="U57" s="489"/>
      <c r="V57" s="489"/>
      <c r="W57" s="217"/>
      <c r="X57" s="224"/>
      <c r="Y57" s="224"/>
      <c r="Z57" s="224"/>
      <c r="AA57" s="489"/>
      <c r="AB57" s="489"/>
      <c r="AC57" s="217"/>
      <c r="AD57" s="224"/>
      <c r="AE57" s="489"/>
    </row>
    <row r="58" spans="3:31" ht="16.2" customHeight="1">
      <c r="C58" s="489"/>
      <c r="D58" s="489"/>
      <c r="E58" s="217"/>
      <c r="F58" s="224"/>
      <c r="G58" s="224"/>
      <c r="H58" s="224"/>
      <c r="I58" s="489"/>
      <c r="J58" s="489"/>
      <c r="K58" s="217"/>
      <c r="L58" s="224"/>
      <c r="M58" s="224"/>
      <c r="N58" s="224"/>
      <c r="O58" s="489"/>
      <c r="P58" s="489"/>
      <c r="Q58" s="217"/>
      <c r="R58" s="224"/>
      <c r="S58" s="224"/>
      <c r="T58" s="224"/>
      <c r="U58" s="489"/>
      <c r="V58" s="489"/>
      <c r="W58" s="217"/>
      <c r="X58" s="224"/>
      <c r="Y58" s="224"/>
      <c r="Z58" s="224"/>
      <c r="AA58" s="489"/>
      <c r="AB58" s="489"/>
      <c r="AC58" s="217"/>
      <c r="AD58" s="224"/>
      <c r="AE58" s="489"/>
    </row>
    <row r="59" spans="3:31" ht="16.2" customHeight="1">
      <c r="C59" s="489"/>
      <c r="D59" s="489"/>
      <c r="E59" s="217"/>
      <c r="F59" s="224"/>
      <c r="G59" s="224"/>
      <c r="H59" s="224"/>
      <c r="I59" s="489"/>
      <c r="J59" s="489"/>
      <c r="K59" s="217"/>
      <c r="L59" s="224"/>
      <c r="M59" s="224"/>
      <c r="N59" s="224"/>
      <c r="O59" s="489"/>
      <c r="P59" s="489"/>
      <c r="Q59" s="217"/>
      <c r="R59" s="224"/>
      <c r="S59" s="224"/>
      <c r="T59" s="224"/>
      <c r="U59" s="489"/>
      <c r="V59" s="489"/>
      <c r="W59" s="217"/>
      <c r="X59" s="224"/>
      <c r="Y59" s="224"/>
      <c r="Z59" s="224"/>
      <c r="AA59" s="489"/>
      <c r="AB59" s="489"/>
      <c r="AC59" s="217"/>
      <c r="AD59" s="224"/>
      <c r="AE59" s="489"/>
    </row>
    <row r="60" spans="3:31" ht="16.2" customHeight="1">
      <c r="C60" s="489"/>
      <c r="D60" s="489"/>
      <c r="E60" s="217"/>
      <c r="F60" s="224"/>
      <c r="G60" s="224"/>
      <c r="H60" s="224"/>
      <c r="I60" s="489"/>
      <c r="J60" s="489"/>
      <c r="K60" s="217"/>
      <c r="L60" s="224"/>
      <c r="M60" s="224"/>
      <c r="N60" s="224"/>
      <c r="O60" s="489"/>
      <c r="P60" s="489"/>
      <c r="Q60" s="217"/>
      <c r="R60" s="224"/>
      <c r="S60" s="224"/>
      <c r="T60" s="224"/>
      <c r="U60" s="489"/>
      <c r="V60" s="489"/>
      <c r="W60" s="217"/>
      <c r="X60" s="224"/>
      <c r="Y60" s="224"/>
      <c r="Z60" s="224"/>
      <c r="AA60" s="489"/>
      <c r="AB60" s="489"/>
      <c r="AC60" s="217"/>
      <c r="AD60" s="224"/>
      <c r="AE60" s="489"/>
    </row>
    <row r="61" spans="3:31" ht="16.2" customHeight="1">
      <c r="C61" s="489"/>
      <c r="D61" s="489"/>
      <c r="E61" s="217"/>
      <c r="F61" s="224"/>
      <c r="G61" s="224"/>
      <c r="H61" s="224"/>
      <c r="I61" s="489"/>
      <c r="J61" s="489"/>
      <c r="K61" s="217"/>
      <c r="L61" s="224"/>
      <c r="M61" s="224"/>
      <c r="N61" s="224"/>
      <c r="O61" s="489"/>
      <c r="P61" s="489"/>
      <c r="Q61" s="217"/>
      <c r="R61" s="224"/>
      <c r="S61" s="224"/>
      <c r="T61" s="224"/>
      <c r="U61" s="489"/>
      <c r="V61" s="489"/>
      <c r="W61" s="217"/>
      <c r="X61" s="224"/>
      <c r="Y61" s="224"/>
      <c r="Z61" s="224"/>
      <c r="AA61" s="489"/>
      <c r="AB61" s="489"/>
      <c r="AC61" s="217"/>
      <c r="AD61" s="224"/>
      <c r="AE61" s="489"/>
    </row>
    <row r="62" spans="3:31" ht="16.2" customHeight="1">
      <c r="C62" s="489"/>
      <c r="D62" s="489"/>
      <c r="E62" s="217"/>
      <c r="F62" s="224"/>
      <c r="G62" s="224"/>
      <c r="H62" s="224"/>
      <c r="I62" s="489"/>
      <c r="J62" s="489"/>
      <c r="K62" s="217"/>
      <c r="L62" s="224"/>
      <c r="M62" s="224"/>
      <c r="N62" s="224"/>
      <c r="O62" s="489"/>
      <c r="P62" s="489"/>
      <c r="Q62" s="217"/>
      <c r="R62" s="224"/>
      <c r="S62" s="224"/>
      <c r="T62" s="224"/>
      <c r="U62" s="489"/>
      <c r="V62" s="489"/>
      <c r="W62" s="217"/>
      <c r="X62" s="224"/>
      <c r="Y62" s="224"/>
      <c r="Z62" s="224"/>
      <c r="AA62" s="489"/>
      <c r="AB62" s="489"/>
      <c r="AC62" s="217"/>
      <c r="AD62" s="224"/>
      <c r="AE62" s="489"/>
    </row>
    <row r="63" spans="3:31" ht="16.2" customHeight="1">
      <c r="C63" s="489"/>
      <c r="D63" s="489"/>
      <c r="E63" s="217"/>
      <c r="F63" s="224"/>
      <c r="G63" s="224"/>
      <c r="H63" s="224"/>
      <c r="I63" s="489"/>
      <c r="J63" s="489"/>
      <c r="K63" s="217"/>
      <c r="L63" s="224"/>
      <c r="M63" s="224"/>
      <c r="N63" s="224"/>
      <c r="O63" s="489"/>
      <c r="P63" s="489"/>
      <c r="Q63" s="217"/>
      <c r="R63" s="224"/>
      <c r="S63" s="224"/>
      <c r="T63" s="224"/>
      <c r="U63" s="489"/>
      <c r="V63" s="489"/>
      <c r="W63" s="217"/>
      <c r="X63" s="224"/>
      <c r="Y63" s="224"/>
      <c r="Z63" s="224"/>
      <c r="AA63" s="489"/>
      <c r="AB63" s="489"/>
      <c r="AC63" s="217"/>
      <c r="AD63" s="224"/>
      <c r="AE63" s="489"/>
    </row>
    <row r="64" spans="3:31" ht="16.2" customHeight="1">
      <c r="C64" s="489"/>
      <c r="D64" s="489"/>
      <c r="E64" s="217"/>
      <c r="F64" s="224"/>
      <c r="G64" s="224"/>
      <c r="H64" s="224"/>
      <c r="I64" s="489"/>
      <c r="J64" s="489"/>
      <c r="K64" s="217"/>
      <c r="L64" s="224"/>
      <c r="M64" s="224"/>
      <c r="N64" s="224"/>
      <c r="O64" s="489"/>
      <c r="P64" s="489"/>
      <c r="Q64" s="217"/>
      <c r="R64" s="224"/>
      <c r="S64" s="224"/>
      <c r="T64" s="224"/>
      <c r="U64" s="489"/>
      <c r="V64" s="489"/>
      <c r="W64" s="217"/>
      <c r="X64" s="224"/>
      <c r="Y64" s="224"/>
      <c r="Z64" s="224"/>
      <c r="AA64" s="489"/>
      <c r="AB64" s="489"/>
      <c r="AC64" s="217"/>
      <c r="AD64" s="224"/>
      <c r="AE64" s="489"/>
    </row>
    <row r="65" spans="3:31" ht="16.2" customHeight="1">
      <c r="C65" s="489"/>
      <c r="D65" s="489"/>
      <c r="E65" s="217"/>
      <c r="F65" s="224"/>
      <c r="G65" s="224"/>
      <c r="H65" s="224"/>
      <c r="I65" s="489"/>
      <c r="J65" s="489"/>
      <c r="K65" s="217"/>
      <c r="L65" s="224"/>
      <c r="M65" s="224"/>
      <c r="N65" s="224"/>
      <c r="O65" s="489"/>
      <c r="P65" s="489"/>
      <c r="Q65" s="217"/>
      <c r="R65" s="224"/>
      <c r="S65" s="224"/>
      <c r="T65" s="224"/>
      <c r="U65" s="489"/>
      <c r="V65" s="489"/>
      <c r="W65" s="217"/>
      <c r="X65" s="224"/>
      <c r="Y65" s="224"/>
      <c r="Z65" s="224"/>
      <c r="AA65" s="489"/>
      <c r="AB65" s="489"/>
      <c r="AC65" s="217"/>
      <c r="AD65" s="224"/>
      <c r="AE65" s="489"/>
    </row>
    <row r="66" spans="3:31" ht="16.2" customHeight="1">
      <c r="C66" s="489"/>
      <c r="D66" s="489"/>
      <c r="E66" s="217"/>
      <c r="F66" s="224"/>
      <c r="G66" s="224"/>
      <c r="H66" s="224"/>
      <c r="I66" s="489"/>
      <c r="J66" s="489"/>
      <c r="K66" s="217"/>
      <c r="L66" s="224"/>
      <c r="M66" s="224"/>
      <c r="N66" s="224"/>
      <c r="O66" s="489"/>
      <c r="P66" s="489"/>
      <c r="Q66" s="217"/>
      <c r="R66" s="224"/>
      <c r="S66" s="224"/>
      <c r="T66" s="224"/>
      <c r="U66" s="489"/>
      <c r="V66" s="489"/>
      <c r="W66" s="217"/>
      <c r="X66" s="224"/>
      <c r="Y66" s="224"/>
      <c r="Z66" s="224"/>
      <c r="AA66" s="489"/>
      <c r="AB66" s="489"/>
      <c r="AC66" s="217"/>
      <c r="AD66" s="224"/>
      <c r="AE66" s="489"/>
    </row>
    <row r="67" spans="3:31" ht="16.2" customHeight="1">
      <c r="C67" s="489"/>
      <c r="D67" s="489"/>
      <c r="E67" s="217"/>
      <c r="F67" s="224"/>
      <c r="G67" s="224"/>
      <c r="H67" s="224"/>
      <c r="I67" s="489"/>
      <c r="J67" s="489"/>
      <c r="K67" s="217"/>
      <c r="L67" s="224"/>
      <c r="M67" s="224"/>
      <c r="N67" s="224"/>
      <c r="O67" s="489"/>
      <c r="P67" s="489"/>
      <c r="Q67" s="217"/>
      <c r="R67" s="224"/>
      <c r="S67" s="224"/>
      <c r="T67" s="224"/>
      <c r="U67" s="489"/>
      <c r="V67" s="489"/>
      <c r="W67" s="217"/>
      <c r="X67" s="224"/>
      <c r="Y67" s="224"/>
      <c r="Z67" s="224"/>
      <c r="AA67" s="489"/>
      <c r="AB67" s="489"/>
      <c r="AC67" s="217"/>
      <c r="AD67" s="224"/>
      <c r="AE67" s="489"/>
    </row>
    <row r="68" spans="3:31" ht="16.2" customHeight="1">
      <c r="C68" s="489"/>
      <c r="D68" s="489"/>
      <c r="E68" s="217"/>
      <c r="F68" s="224"/>
      <c r="G68" s="224"/>
      <c r="H68" s="224"/>
      <c r="I68" s="489"/>
      <c r="J68" s="489"/>
      <c r="K68" s="217"/>
      <c r="L68" s="224"/>
      <c r="M68" s="224"/>
      <c r="N68" s="224"/>
      <c r="O68" s="489"/>
      <c r="P68" s="489"/>
      <c r="Q68" s="217"/>
      <c r="R68" s="224"/>
      <c r="S68" s="224"/>
      <c r="T68" s="224"/>
      <c r="U68" s="489"/>
      <c r="V68" s="489"/>
      <c r="W68" s="217"/>
      <c r="X68" s="224"/>
      <c r="Y68" s="224"/>
      <c r="Z68" s="224"/>
      <c r="AA68" s="489"/>
      <c r="AB68" s="489"/>
      <c r="AC68" s="217"/>
      <c r="AD68" s="224"/>
      <c r="AE68" s="489"/>
    </row>
    <row r="69" spans="3:31" ht="16.2" customHeight="1">
      <c r="C69" s="489"/>
      <c r="D69" s="489"/>
      <c r="E69" s="217"/>
      <c r="F69" s="224"/>
      <c r="G69" s="224"/>
      <c r="H69" s="224"/>
      <c r="I69" s="489"/>
      <c r="J69" s="489"/>
      <c r="K69" s="217"/>
      <c r="L69" s="224"/>
      <c r="M69" s="224"/>
      <c r="N69" s="224"/>
      <c r="O69" s="489"/>
      <c r="P69" s="489"/>
      <c r="Q69" s="217"/>
      <c r="R69" s="224"/>
      <c r="S69" s="224"/>
      <c r="T69" s="224"/>
      <c r="U69" s="489"/>
      <c r="V69" s="489"/>
      <c r="W69" s="217"/>
      <c r="X69" s="224"/>
      <c r="Y69" s="224"/>
      <c r="Z69" s="224"/>
      <c r="AA69" s="489"/>
      <c r="AB69" s="489"/>
      <c r="AC69" s="217"/>
      <c r="AD69" s="224"/>
      <c r="AE69" s="489"/>
    </row>
    <row r="70" spans="3:31" ht="16.2" customHeight="1">
      <c r="C70" s="489"/>
      <c r="D70" s="489"/>
      <c r="E70" s="217"/>
      <c r="F70" s="224"/>
      <c r="G70" s="224"/>
      <c r="H70" s="224"/>
      <c r="I70" s="489"/>
      <c r="J70" s="489"/>
      <c r="K70" s="217"/>
      <c r="L70" s="224"/>
      <c r="M70" s="224"/>
      <c r="N70" s="224"/>
      <c r="O70" s="489"/>
      <c r="P70" s="489"/>
      <c r="Q70" s="217"/>
      <c r="R70" s="224"/>
      <c r="S70" s="224"/>
      <c r="T70" s="224"/>
      <c r="U70" s="489"/>
      <c r="V70" s="489"/>
      <c r="W70" s="217"/>
      <c r="X70" s="224"/>
      <c r="Y70" s="224"/>
      <c r="Z70" s="224"/>
      <c r="AA70" s="489"/>
      <c r="AB70" s="489"/>
      <c r="AC70" s="217"/>
      <c r="AD70" s="224"/>
      <c r="AE70" s="489"/>
    </row>
    <row r="71" spans="3:31" ht="16.2" customHeight="1">
      <c r="C71" s="489"/>
      <c r="D71" s="489"/>
      <c r="E71" s="217"/>
      <c r="F71" s="224"/>
      <c r="G71" s="224"/>
      <c r="H71" s="224"/>
      <c r="I71" s="489"/>
      <c r="J71" s="489"/>
      <c r="K71" s="217"/>
      <c r="L71" s="224"/>
      <c r="M71" s="224"/>
      <c r="N71" s="224"/>
      <c r="O71" s="489"/>
      <c r="P71" s="489"/>
      <c r="Q71" s="217"/>
      <c r="R71" s="224"/>
      <c r="S71" s="224"/>
      <c r="T71" s="224"/>
      <c r="U71" s="489"/>
      <c r="V71" s="489"/>
      <c r="W71" s="217"/>
      <c r="X71" s="224"/>
      <c r="Y71" s="224"/>
      <c r="Z71" s="224"/>
      <c r="AA71" s="489"/>
      <c r="AB71" s="489"/>
      <c r="AC71" s="217"/>
      <c r="AD71" s="224"/>
      <c r="AE71" s="489"/>
    </row>
    <row r="72" spans="3:31" ht="16.2" customHeight="1">
      <c r="C72" s="489"/>
      <c r="D72" s="489"/>
      <c r="E72" s="217"/>
      <c r="F72" s="224"/>
      <c r="G72" s="224"/>
      <c r="H72" s="224"/>
      <c r="I72" s="489"/>
      <c r="J72" s="489"/>
      <c r="K72" s="217"/>
      <c r="L72" s="224"/>
      <c r="M72" s="224"/>
      <c r="N72" s="224"/>
      <c r="O72" s="489"/>
      <c r="P72" s="489"/>
      <c r="Q72" s="217"/>
      <c r="R72" s="224"/>
      <c r="S72" s="224"/>
      <c r="T72" s="224"/>
      <c r="U72" s="489"/>
      <c r="V72" s="489"/>
      <c r="W72" s="217"/>
      <c r="X72" s="224"/>
      <c r="Y72" s="224"/>
      <c r="Z72" s="224"/>
      <c r="AA72" s="489"/>
      <c r="AB72" s="489"/>
      <c r="AC72" s="217"/>
      <c r="AD72" s="224"/>
      <c r="AE72" s="489"/>
    </row>
    <row r="73" spans="3:31" ht="16.2" customHeight="1">
      <c r="C73" s="489"/>
      <c r="D73" s="489"/>
      <c r="E73" s="217"/>
      <c r="F73" s="224"/>
      <c r="G73" s="224"/>
      <c r="H73" s="224"/>
      <c r="I73" s="489"/>
      <c r="J73" s="489"/>
      <c r="K73" s="217"/>
      <c r="L73" s="224"/>
      <c r="M73" s="224"/>
      <c r="N73" s="224"/>
      <c r="O73" s="489"/>
      <c r="P73" s="489"/>
      <c r="Q73" s="217"/>
      <c r="R73" s="224"/>
      <c r="S73" s="224"/>
      <c r="T73" s="224"/>
      <c r="U73" s="489"/>
      <c r="V73" s="489"/>
      <c r="W73" s="217"/>
      <c r="X73" s="224"/>
      <c r="Y73" s="224"/>
      <c r="Z73" s="224"/>
      <c r="AA73" s="489"/>
      <c r="AB73" s="489"/>
      <c r="AC73" s="217"/>
      <c r="AD73" s="224"/>
      <c r="AE73" s="489"/>
    </row>
    <row r="74" spans="3:31" ht="16.2" customHeight="1">
      <c r="C74" s="489"/>
      <c r="D74" s="489"/>
      <c r="E74" s="217"/>
      <c r="F74" s="224"/>
      <c r="G74" s="224"/>
      <c r="H74" s="224"/>
      <c r="I74" s="489"/>
      <c r="J74" s="489"/>
      <c r="K74" s="217"/>
      <c r="L74" s="224"/>
      <c r="M74" s="224"/>
      <c r="N74" s="224"/>
      <c r="O74" s="489"/>
      <c r="P74" s="489"/>
      <c r="Q74" s="217"/>
      <c r="R74" s="224"/>
      <c r="S74" s="224"/>
      <c r="T74" s="224"/>
      <c r="U74" s="489"/>
      <c r="V74" s="489"/>
      <c r="W74" s="217"/>
      <c r="X74" s="224"/>
      <c r="Y74" s="224"/>
      <c r="Z74" s="224"/>
      <c r="AA74" s="489"/>
      <c r="AB74" s="489"/>
      <c r="AC74" s="217"/>
      <c r="AD74" s="224"/>
      <c r="AE74" s="489"/>
    </row>
    <row r="75" spans="3:31" ht="16.2" customHeight="1">
      <c r="C75" s="489"/>
      <c r="D75" s="489"/>
      <c r="E75" s="217"/>
      <c r="F75" s="224"/>
      <c r="G75" s="224"/>
      <c r="H75" s="224"/>
      <c r="I75" s="489"/>
      <c r="J75" s="489"/>
      <c r="K75" s="217"/>
      <c r="L75" s="224"/>
      <c r="M75" s="224"/>
      <c r="N75" s="224"/>
      <c r="O75" s="489"/>
      <c r="P75" s="489"/>
      <c r="Q75" s="217"/>
      <c r="R75" s="224"/>
      <c r="S75" s="224"/>
      <c r="T75" s="224"/>
      <c r="U75" s="489"/>
      <c r="V75" s="489"/>
      <c r="W75" s="217"/>
      <c r="X75" s="224"/>
      <c r="Y75" s="224"/>
      <c r="Z75" s="224"/>
      <c r="AA75" s="489"/>
      <c r="AB75" s="489"/>
      <c r="AC75" s="217"/>
      <c r="AD75" s="224"/>
      <c r="AE75" s="489"/>
    </row>
    <row r="76" spans="3:31" ht="16.2" customHeight="1">
      <c r="C76" s="489"/>
      <c r="D76" s="489"/>
      <c r="E76" s="217"/>
      <c r="F76" s="224"/>
      <c r="G76" s="224"/>
      <c r="H76" s="224"/>
      <c r="I76" s="489"/>
      <c r="J76" s="489"/>
      <c r="K76" s="217"/>
      <c r="L76" s="224"/>
      <c r="M76" s="224"/>
      <c r="N76" s="224"/>
      <c r="O76" s="489"/>
      <c r="P76" s="489"/>
      <c r="Q76" s="217"/>
      <c r="R76" s="224"/>
      <c r="S76" s="224"/>
      <c r="T76" s="224"/>
      <c r="U76" s="489"/>
      <c r="V76" s="489"/>
      <c r="W76" s="217"/>
      <c r="X76" s="224"/>
      <c r="Y76" s="224"/>
      <c r="Z76" s="224"/>
      <c r="AA76" s="489"/>
      <c r="AB76" s="489"/>
      <c r="AC76" s="217"/>
      <c r="AD76" s="224"/>
      <c r="AE76" s="489"/>
    </row>
    <row r="77" spans="3:31" ht="16.2" customHeight="1">
      <c r="C77" s="489"/>
      <c r="D77" s="489"/>
      <c r="E77" s="217"/>
      <c r="F77" s="224"/>
      <c r="G77" s="224"/>
      <c r="H77" s="224"/>
      <c r="I77" s="489"/>
      <c r="J77" s="489"/>
      <c r="K77" s="217"/>
      <c r="L77" s="224"/>
      <c r="M77" s="224"/>
      <c r="N77" s="224"/>
      <c r="O77" s="489"/>
      <c r="P77" s="489"/>
      <c r="Q77" s="217"/>
      <c r="R77" s="224"/>
      <c r="S77" s="224"/>
      <c r="T77" s="224"/>
      <c r="U77" s="489"/>
      <c r="V77" s="489"/>
      <c r="W77" s="217"/>
      <c r="X77" s="224"/>
      <c r="Y77" s="224"/>
      <c r="Z77" s="224"/>
      <c r="AA77" s="489"/>
      <c r="AB77" s="489"/>
      <c r="AC77" s="217"/>
      <c r="AD77" s="224"/>
      <c r="AE77" s="489"/>
    </row>
    <row r="78" spans="3:31" ht="16.2" customHeight="1">
      <c r="C78" s="489"/>
      <c r="D78" s="489"/>
      <c r="E78" s="217"/>
      <c r="F78" s="224"/>
      <c r="G78" s="224"/>
      <c r="H78" s="224"/>
      <c r="I78" s="489"/>
      <c r="J78" s="489"/>
      <c r="K78" s="217"/>
      <c r="L78" s="224"/>
      <c r="M78" s="224"/>
      <c r="N78" s="224"/>
      <c r="O78" s="489"/>
      <c r="P78" s="489"/>
      <c r="Q78" s="217"/>
      <c r="R78" s="224"/>
      <c r="S78" s="224"/>
      <c r="T78" s="224"/>
      <c r="U78" s="489"/>
      <c r="V78" s="489"/>
      <c r="W78" s="217"/>
      <c r="X78" s="224"/>
      <c r="Y78" s="224"/>
      <c r="Z78" s="224"/>
      <c r="AA78" s="489"/>
      <c r="AB78" s="489"/>
      <c r="AC78" s="217"/>
      <c r="AD78" s="224"/>
      <c r="AE78" s="489"/>
    </row>
    <row r="79" spans="3:31" ht="16.2" customHeight="1">
      <c r="C79" s="489"/>
      <c r="D79" s="489"/>
      <c r="E79" s="217"/>
      <c r="F79" s="224"/>
      <c r="G79" s="224"/>
      <c r="H79" s="224"/>
      <c r="I79" s="489"/>
      <c r="J79" s="489"/>
      <c r="K79" s="217"/>
      <c r="L79" s="224"/>
      <c r="M79" s="224"/>
      <c r="N79" s="224"/>
      <c r="O79" s="489"/>
      <c r="P79" s="489"/>
      <c r="Q79" s="217"/>
      <c r="R79" s="224"/>
      <c r="S79" s="224"/>
      <c r="T79" s="224"/>
      <c r="U79" s="489"/>
      <c r="V79" s="489"/>
      <c r="W79" s="217"/>
      <c r="X79" s="224"/>
      <c r="Y79" s="224"/>
      <c r="Z79" s="224"/>
      <c r="AA79" s="489"/>
      <c r="AB79" s="489"/>
      <c r="AC79" s="217"/>
      <c r="AD79" s="224"/>
      <c r="AE79" s="489"/>
    </row>
    <row r="80" spans="3:31" ht="16.2" customHeight="1">
      <c r="C80" s="489"/>
      <c r="D80" s="489"/>
      <c r="E80" s="217"/>
      <c r="F80" s="224"/>
      <c r="G80" s="224"/>
      <c r="H80" s="224"/>
      <c r="I80" s="489"/>
      <c r="J80" s="489"/>
      <c r="K80" s="217"/>
      <c r="L80" s="224"/>
      <c r="M80" s="224"/>
      <c r="N80" s="224"/>
      <c r="O80" s="489"/>
      <c r="P80" s="489"/>
      <c r="Q80" s="217"/>
      <c r="R80" s="224"/>
      <c r="S80" s="224"/>
      <c r="T80" s="224"/>
      <c r="U80" s="489"/>
      <c r="V80" s="489"/>
      <c r="W80" s="217"/>
      <c r="X80" s="224"/>
      <c r="Y80" s="224"/>
      <c r="Z80" s="224"/>
      <c r="AA80" s="489"/>
      <c r="AB80" s="489"/>
      <c r="AC80" s="217"/>
      <c r="AD80" s="224"/>
      <c r="AE80" s="489"/>
    </row>
    <row r="81" spans="3:31" ht="16.2" customHeight="1">
      <c r="C81" s="489"/>
      <c r="D81" s="489"/>
      <c r="E81" s="217"/>
      <c r="F81" s="224"/>
      <c r="G81" s="224"/>
      <c r="H81" s="224"/>
      <c r="I81" s="489"/>
      <c r="J81" s="489"/>
      <c r="K81" s="217"/>
      <c r="L81" s="224"/>
      <c r="M81" s="224"/>
      <c r="N81" s="224"/>
      <c r="O81" s="489"/>
      <c r="P81" s="489"/>
      <c r="Q81" s="217"/>
      <c r="R81" s="224"/>
      <c r="S81" s="224"/>
      <c r="T81" s="224"/>
      <c r="U81" s="489"/>
      <c r="V81" s="489"/>
      <c r="W81" s="217"/>
      <c r="X81" s="224"/>
      <c r="Y81" s="224"/>
      <c r="Z81" s="224"/>
      <c r="AA81" s="489"/>
      <c r="AB81" s="489"/>
      <c r="AC81" s="217"/>
      <c r="AD81" s="224"/>
      <c r="AE81" s="489"/>
    </row>
    <row r="82" spans="3:31" ht="16.2" customHeight="1">
      <c r="C82" s="489"/>
      <c r="D82" s="489"/>
      <c r="E82" s="217"/>
      <c r="F82" s="224"/>
      <c r="G82" s="224"/>
      <c r="H82" s="224"/>
      <c r="I82" s="489"/>
      <c r="J82" s="489"/>
      <c r="K82" s="217"/>
      <c r="L82" s="224"/>
      <c r="M82" s="224"/>
      <c r="N82" s="224"/>
      <c r="O82" s="489"/>
      <c r="P82" s="489"/>
      <c r="Q82" s="217"/>
      <c r="R82" s="224"/>
      <c r="S82" s="224"/>
      <c r="T82" s="224"/>
      <c r="U82" s="489"/>
      <c r="V82" s="489"/>
      <c r="W82" s="217"/>
      <c r="X82" s="224"/>
      <c r="Y82" s="224"/>
      <c r="Z82" s="224"/>
      <c r="AA82" s="489"/>
      <c r="AB82" s="489"/>
      <c r="AC82" s="217"/>
      <c r="AD82" s="224"/>
      <c r="AE82" s="489"/>
    </row>
    <row r="83" spans="3:31" ht="16.2" customHeight="1">
      <c r="C83" s="489"/>
      <c r="D83" s="489"/>
      <c r="E83" s="217"/>
      <c r="F83" s="224"/>
      <c r="G83" s="224"/>
      <c r="H83" s="224"/>
      <c r="I83" s="489"/>
      <c r="J83" s="489"/>
      <c r="K83" s="217"/>
      <c r="L83" s="224"/>
      <c r="M83" s="224"/>
      <c r="N83" s="224"/>
      <c r="O83" s="489"/>
      <c r="P83" s="489"/>
      <c r="Q83" s="217"/>
      <c r="R83" s="224"/>
      <c r="S83" s="224"/>
      <c r="T83" s="224"/>
      <c r="U83" s="489"/>
      <c r="V83" s="489"/>
      <c r="W83" s="217"/>
      <c r="X83" s="224"/>
      <c r="Y83" s="224"/>
      <c r="Z83" s="224"/>
      <c r="AA83" s="489"/>
      <c r="AB83" s="489"/>
      <c r="AC83" s="217"/>
      <c r="AD83" s="224"/>
      <c r="AE83" s="489"/>
    </row>
    <row r="84" spans="3:31" ht="16.2" customHeight="1">
      <c r="C84" s="489"/>
      <c r="D84" s="489"/>
      <c r="E84" s="217"/>
      <c r="F84" s="224"/>
      <c r="G84" s="224"/>
      <c r="H84" s="224"/>
      <c r="I84" s="489"/>
      <c r="J84" s="489"/>
      <c r="K84" s="217"/>
      <c r="L84" s="224"/>
      <c r="M84" s="224"/>
      <c r="N84" s="224"/>
      <c r="O84" s="489"/>
      <c r="P84" s="489"/>
      <c r="Q84" s="217"/>
      <c r="R84" s="224"/>
      <c r="S84" s="224"/>
      <c r="T84" s="224"/>
      <c r="U84" s="489"/>
      <c r="V84" s="489"/>
      <c r="W84" s="217"/>
      <c r="X84" s="224"/>
      <c r="Y84" s="224"/>
      <c r="Z84" s="224"/>
      <c r="AA84" s="489"/>
      <c r="AB84" s="489"/>
      <c r="AC84" s="217"/>
      <c r="AD84" s="224"/>
      <c r="AE84" s="489"/>
    </row>
    <row r="85" spans="3:31" ht="16.2" customHeight="1">
      <c r="C85" s="489"/>
      <c r="D85" s="489"/>
      <c r="E85" s="217"/>
      <c r="F85" s="224"/>
      <c r="G85" s="224"/>
      <c r="H85" s="224"/>
      <c r="I85" s="489"/>
      <c r="J85" s="489"/>
      <c r="K85" s="217"/>
      <c r="L85" s="224"/>
      <c r="M85" s="224"/>
      <c r="N85" s="224"/>
      <c r="O85" s="489"/>
      <c r="P85" s="489"/>
      <c r="Q85" s="217"/>
      <c r="R85" s="224"/>
      <c r="S85" s="224"/>
      <c r="T85" s="224"/>
      <c r="U85" s="489"/>
      <c r="V85" s="489"/>
      <c r="W85" s="217"/>
      <c r="X85" s="224"/>
      <c r="Y85" s="224"/>
      <c r="Z85" s="224"/>
      <c r="AA85" s="489"/>
      <c r="AB85" s="489"/>
      <c r="AC85" s="217"/>
      <c r="AD85" s="224"/>
      <c r="AE85" s="489"/>
    </row>
    <row r="86" spans="3:31" ht="16.2" customHeight="1">
      <c r="C86" s="489"/>
      <c r="D86" s="489"/>
      <c r="E86" s="217"/>
      <c r="F86" s="224"/>
      <c r="G86" s="224"/>
      <c r="H86" s="224"/>
      <c r="I86" s="489"/>
      <c r="J86" s="489"/>
      <c r="K86" s="217"/>
      <c r="L86" s="224"/>
      <c r="M86" s="224"/>
      <c r="N86" s="224"/>
      <c r="O86" s="489"/>
      <c r="P86" s="489"/>
      <c r="Q86" s="217"/>
      <c r="R86" s="224"/>
      <c r="S86" s="224"/>
      <c r="T86" s="224"/>
      <c r="U86" s="489"/>
      <c r="V86" s="489"/>
      <c r="W86" s="217"/>
      <c r="X86" s="224"/>
      <c r="Y86" s="224"/>
      <c r="Z86" s="224"/>
      <c r="AA86" s="489"/>
      <c r="AB86" s="489"/>
      <c r="AC86" s="217"/>
      <c r="AD86" s="224"/>
      <c r="AE86" s="489"/>
    </row>
    <row r="87" spans="3:31" ht="16.2" customHeight="1">
      <c r="C87" s="489"/>
      <c r="D87" s="489"/>
      <c r="E87" s="217"/>
      <c r="F87" s="224"/>
      <c r="G87" s="224"/>
      <c r="H87" s="224"/>
      <c r="I87" s="489"/>
      <c r="J87" s="489"/>
      <c r="K87" s="217"/>
      <c r="L87" s="224"/>
      <c r="M87" s="224"/>
      <c r="N87" s="224"/>
      <c r="O87" s="489"/>
      <c r="P87" s="489"/>
      <c r="Q87" s="217"/>
      <c r="R87" s="224"/>
      <c r="S87" s="224"/>
      <c r="T87" s="224"/>
      <c r="U87" s="489"/>
      <c r="V87" s="489"/>
      <c r="W87" s="217"/>
      <c r="X87" s="224"/>
      <c r="Y87" s="224"/>
      <c r="Z87" s="224"/>
      <c r="AA87" s="489"/>
      <c r="AB87" s="489"/>
      <c r="AC87" s="217"/>
      <c r="AD87" s="224"/>
      <c r="AE87" s="489"/>
    </row>
    <row r="88" spans="3:31" ht="16.2" customHeight="1">
      <c r="C88" s="489"/>
      <c r="D88" s="489"/>
      <c r="E88" s="217"/>
      <c r="F88" s="224"/>
      <c r="G88" s="224"/>
      <c r="H88" s="224"/>
      <c r="I88" s="489"/>
      <c r="J88" s="489"/>
      <c r="K88" s="217"/>
      <c r="L88" s="224"/>
      <c r="M88" s="224"/>
      <c r="N88" s="224"/>
      <c r="O88" s="489"/>
      <c r="P88" s="489"/>
      <c r="Q88" s="217"/>
      <c r="R88" s="224"/>
      <c r="S88" s="224"/>
      <c r="T88" s="224"/>
      <c r="U88" s="489"/>
      <c r="V88" s="489"/>
      <c r="W88" s="217"/>
      <c r="X88" s="224"/>
      <c r="Y88" s="224"/>
      <c r="Z88" s="224"/>
      <c r="AA88" s="489"/>
      <c r="AB88" s="489"/>
      <c r="AC88" s="217"/>
      <c r="AD88" s="224"/>
      <c r="AE88" s="489"/>
    </row>
    <row r="89" spans="3:31" ht="16.2" customHeight="1">
      <c r="C89" s="489"/>
      <c r="D89" s="489"/>
      <c r="E89" s="217"/>
      <c r="F89" s="224"/>
      <c r="G89" s="224"/>
      <c r="H89" s="224"/>
      <c r="I89" s="489"/>
      <c r="J89" s="489"/>
      <c r="K89" s="217"/>
      <c r="L89" s="224"/>
      <c r="M89" s="224"/>
      <c r="N89" s="224"/>
      <c r="O89" s="489"/>
      <c r="P89" s="489"/>
      <c r="Q89" s="217"/>
      <c r="R89" s="224"/>
      <c r="S89" s="224"/>
      <c r="T89" s="224"/>
      <c r="U89" s="489"/>
      <c r="V89" s="489"/>
      <c r="W89" s="217"/>
      <c r="X89" s="224"/>
      <c r="Y89" s="224"/>
      <c r="Z89" s="224"/>
      <c r="AA89" s="489"/>
      <c r="AB89" s="489"/>
      <c r="AC89" s="217"/>
      <c r="AD89" s="224"/>
      <c r="AE89" s="489"/>
    </row>
    <row r="90" spans="3:31" ht="16.2" customHeight="1">
      <c r="C90" s="489"/>
      <c r="D90" s="489"/>
      <c r="E90" s="217"/>
      <c r="F90" s="224"/>
      <c r="G90" s="224"/>
      <c r="H90" s="224"/>
      <c r="I90" s="489"/>
      <c r="J90" s="489"/>
      <c r="K90" s="217"/>
      <c r="L90" s="224"/>
      <c r="M90" s="224"/>
      <c r="N90" s="224"/>
      <c r="O90" s="489"/>
      <c r="P90" s="489"/>
      <c r="Q90" s="217"/>
      <c r="R90" s="224"/>
      <c r="S90" s="224"/>
      <c r="T90" s="224"/>
      <c r="U90" s="489"/>
      <c r="V90" s="489"/>
      <c r="W90" s="217"/>
      <c r="X90" s="224"/>
      <c r="Y90" s="224"/>
      <c r="Z90" s="224"/>
      <c r="AA90" s="489"/>
      <c r="AB90" s="489"/>
      <c r="AC90" s="217"/>
      <c r="AD90" s="224"/>
      <c r="AE90" s="489"/>
    </row>
    <row r="91" spans="3:31" ht="16.2" customHeight="1">
      <c r="C91" s="489"/>
      <c r="D91" s="489"/>
      <c r="E91" s="217"/>
      <c r="F91" s="224"/>
      <c r="G91" s="224"/>
      <c r="H91" s="224"/>
      <c r="I91" s="489"/>
      <c r="J91" s="489"/>
      <c r="K91" s="217"/>
      <c r="L91" s="224"/>
      <c r="M91" s="224"/>
      <c r="N91" s="224"/>
      <c r="O91" s="489"/>
      <c r="P91" s="489"/>
      <c r="Q91" s="217"/>
      <c r="R91" s="224"/>
      <c r="S91" s="224"/>
      <c r="T91" s="224"/>
      <c r="U91" s="489"/>
      <c r="V91" s="489"/>
      <c r="W91" s="217"/>
      <c r="X91" s="224"/>
      <c r="Y91" s="224"/>
      <c r="Z91" s="224"/>
      <c r="AA91" s="489"/>
      <c r="AB91" s="489"/>
      <c r="AC91" s="217"/>
      <c r="AD91" s="224"/>
      <c r="AE91" s="489"/>
    </row>
    <row r="92" spans="3:31" ht="16.2" customHeight="1">
      <c r="C92" s="489"/>
      <c r="D92" s="489"/>
      <c r="E92" s="217"/>
      <c r="F92" s="224"/>
      <c r="G92" s="224"/>
      <c r="H92" s="224"/>
      <c r="I92" s="489"/>
      <c r="J92" s="489"/>
      <c r="K92" s="217"/>
      <c r="L92" s="224"/>
      <c r="M92" s="224"/>
      <c r="N92" s="224"/>
      <c r="O92" s="489"/>
      <c r="P92" s="489"/>
      <c r="Q92" s="217"/>
      <c r="R92" s="224"/>
      <c r="S92" s="224"/>
      <c r="T92" s="224"/>
      <c r="U92" s="489"/>
      <c r="V92" s="489"/>
      <c r="W92" s="217"/>
      <c r="X92" s="224"/>
      <c r="Y92" s="224"/>
      <c r="Z92" s="224"/>
      <c r="AA92" s="489"/>
      <c r="AB92" s="489"/>
      <c r="AC92" s="217"/>
      <c r="AD92" s="224"/>
      <c r="AE92" s="489"/>
    </row>
    <row r="93" spans="3:31" ht="16.2" customHeight="1">
      <c r="C93" s="489"/>
      <c r="D93" s="489"/>
      <c r="E93" s="217"/>
      <c r="F93" s="224"/>
      <c r="G93" s="224"/>
      <c r="H93" s="224"/>
      <c r="I93" s="489"/>
      <c r="J93" s="489"/>
      <c r="K93" s="217"/>
      <c r="L93" s="224"/>
      <c r="M93" s="224"/>
      <c r="N93" s="224"/>
      <c r="O93" s="489"/>
      <c r="P93" s="489"/>
      <c r="Q93" s="217"/>
      <c r="R93" s="224"/>
      <c r="S93" s="224"/>
      <c r="T93" s="224"/>
      <c r="U93" s="489"/>
      <c r="V93" s="489"/>
      <c r="W93" s="217"/>
      <c r="X93" s="224"/>
      <c r="Y93" s="224"/>
      <c r="Z93" s="224"/>
      <c r="AA93" s="489"/>
      <c r="AB93" s="489"/>
      <c r="AC93" s="217"/>
      <c r="AD93" s="224"/>
      <c r="AE93" s="489"/>
    </row>
    <row r="94" spans="3:31" ht="16.2" customHeight="1">
      <c r="C94" s="489"/>
      <c r="D94" s="489"/>
      <c r="E94" s="217"/>
      <c r="F94" s="224"/>
      <c r="G94" s="224"/>
      <c r="H94" s="224"/>
      <c r="I94" s="489"/>
      <c r="J94" s="489"/>
      <c r="K94" s="217"/>
      <c r="L94" s="224"/>
      <c r="M94" s="224"/>
      <c r="N94" s="224"/>
      <c r="O94" s="489"/>
      <c r="P94" s="489"/>
      <c r="Q94" s="217"/>
      <c r="R94" s="224"/>
      <c r="S94" s="224"/>
      <c r="T94" s="224"/>
      <c r="U94" s="489"/>
      <c r="V94" s="489"/>
      <c r="W94" s="217"/>
      <c r="X94" s="224"/>
      <c r="Y94" s="224"/>
      <c r="Z94" s="224"/>
      <c r="AA94" s="489"/>
      <c r="AB94" s="489"/>
      <c r="AC94" s="217"/>
      <c r="AD94" s="224"/>
      <c r="AE94" s="489"/>
    </row>
    <row r="95" spans="3:31" ht="16.2" customHeight="1">
      <c r="C95" s="489"/>
      <c r="D95" s="489"/>
      <c r="E95" s="217"/>
      <c r="F95" s="224"/>
      <c r="G95" s="224"/>
      <c r="H95" s="224"/>
      <c r="I95" s="489"/>
      <c r="J95" s="489"/>
      <c r="K95" s="217"/>
      <c r="L95" s="224"/>
      <c r="M95" s="224"/>
      <c r="N95" s="224"/>
      <c r="O95" s="489"/>
      <c r="P95" s="489"/>
      <c r="Q95" s="217"/>
      <c r="R95" s="224"/>
      <c r="S95" s="224"/>
      <c r="T95" s="224"/>
      <c r="U95" s="489"/>
      <c r="V95" s="489"/>
      <c r="W95" s="217"/>
      <c r="X95" s="224"/>
      <c r="Y95" s="224"/>
      <c r="Z95" s="224"/>
      <c r="AA95" s="489"/>
      <c r="AB95" s="489"/>
      <c r="AC95" s="217"/>
      <c r="AD95" s="224"/>
      <c r="AE95" s="489"/>
    </row>
    <row r="96" spans="3:31" ht="16.2" customHeight="1">
      <c r="C96" s="489"/>
      <c r="D96" s="489"/>
      <c r="E96" s="217"/>
      <c r="F96" s="224"/>
      <c r="G96" s="224"/>
      <c r="H96" s="224"/>
      <c r="I96" s="489"/>
      <c r="J96" s="489"/>
      <c r="K96" s="217"/>
      <c r="L96" s="224"/>
      <c r="M96" s="224"/>
      <c r="N96" s="224"/>
      <c r="O96" s="489"/>
      <c r="P96" s="489"/>
      <c r="Q96" s="217"/>
      <c r="R96" s="224"/>
      <c r="S96" s="224"/>
      <c r="T96" s="224"/>
      <c r="U96" s="489"/>
      <c r="V96" s="489"/>
      <c r="W96" s="217"/>
      <c r="X96" s="224"/>
      <c r="Y96" s="224"/>
      <c r="Z96" s="224"/>
      <c r="AA96" s="489"/>
      <c r="AB96" s="489"/>
      <c r="AC96" s="217"/>
      <c r="AD96" s="224"/>
      <c r="AE96" s="489"/>
    </row>
    <row r="97" spans="3:31" ht="16.2" customHeight="1">
      <c r="C97" s="489"/>
      <c r="D97" s="489"/>
      <c r="E97" s="217"/>
      <c r="F97" s="224"/>
      <c r="G97" s="224"/>
      <c r="H97" s="224"/>
      <c r="I97" s="489"/>
      <c r="J97" s="489"/>
      <c r="K97" s="217"/>
      <c r="L97" s="224"/>
      <c r="M97" s="224"/>
      <c r="N97" s="224"/>
      <c r="O97" s="489"/>
      <c r="P97" s="489"/>
      <c r="Q97" s="217"/>
      <c r="R97" s="224"/>
      <c r="S97" s="224"/>
      <c r="T97" s="224"/>
      <c r="U97" s="489"/>
      <c r="V97" s="489"/>
      <c r="W97" s="217"/>
      <c r="X97" s="224"/>
      <c r="Y97" s="224"/>
      <c r="Z97" s="224"/>
      <c r="AA97" s="489"/>
      <c r="AB97" s="489"/>
      <c r="AC97" s="217"/>
      <c r="AD97" s="224"/>
      <c r="AE97" s="489"/>
    </row>
    <row r="98" spans="3:31" ht="16.2" customHeight="1">
      <c r="C98" s="489"/>
      <c r="D98" s="489"/>
      <c r="E98" s="217"/>
      <c r="F98" s="224"/>
      <c r="G98" s="224"/>
      <c r="H98" s="224"/>
      <c r="I98" s="489"/>
      <c r="J98" s="489"/>
      <c r="K98" s="217"/>
      <c r="L98" s="224"/>
      <c r="M98" s="224"/>
      <c r="N98" s="224"/>
      <c r="O98" s="489"/>
      <c r="P98" s="489"/>
      <c r="Q98" s="217"/>
      <c r="R98" s="224"/>
      <c r="S98" s="224"/>
      <c r="T98" s="224"/>
      <c r="U98" s="489"/>
      <c r="V98" s="489"/>
      <c r="W98" s="217"/>
      <c r="X98" s="224"/>
      <c r="Y98" s="224"/>
      <c r="Z98" s="224"/>
      <c r="AA98" s="489"/>
      <c r="AB98" s="489"/>
      <c r="AC98" s="217"/>
      <c r="AD98" s="224"/>
      <c r="AE98" s="489"/>
    </row>
    <row r="99" spans="3:31" ht="16.2" customHeight="1">
      <c r="C99" s="489"/>
      <c r="D99" s="489"/>
      <c r="E99" s="217"/>
      <c r="F99" s="224"/>
      <c r="G99" s="224"/>
      <c r="H99" s="224"/>
      <c r="I99" s="489"/>
      <c r="J99" s="489"/>
      <c r="K99" s="217"/>
      <c r="L99" s="224"/>
      <c r="M99" s="224"/>
      <c r="N99" s="224"/>
      <c r="O99" s="489"/>
      <c r="P99" s="489"/>
      <c r="Q99" s="217"/>
      <c r="R99" s="224"/>
      <c r="S99" s="224"/>
      <c r="T99" s="224"/>
      <c r="U99" s="489"/>
      <c r="V99" s="489"/>
      <c r="W99" s="217"/>
      <c r="X99" s="224"/>
      <c r="Y99" s="224"/>
      <c r="Z99" s="224"/>
      <c r="AA99" s="489"/>
      <c r="AB99" s="489"/>
      <c r="AC99" s="217"/>
      <c r="AD99" s="224"/>
      <c r="AE99" s="489"/>
    </row>
    <row r="100" spans="3:31" ht="16.2" customHeight="1">
      <c r="C100" s="489"/>
      <c r="D100" s="489"/>
      <c r="E100" s="217"/>
      <c r="F100" s="224"/>
      <c r="G100" s="224"/>
      <c r="H100" s="224"/>
      <c r="I100" s="489"/>
      <c r="J100" s="489"/>
      <c r="K100" s="217"/>
      <c r="L100" s="224"/>
      <c r="M100" s="224"/>
      <c r="N100" s="224"/>
      <c r="O100" s="489"/>
      <c r="P100" s="489"/>
      <c r="Q100" s="217"/>
      <c r="R100" s="224"/>
      <c r="S100" s="224"/>
      <c r="T100" s="224"/>
      <c r="U100" s="489"/>
      <c r="V100" s="489"/>
      <c r="W100" s="217"/>
      <c r="X100" s="224"/>
      <c r="Y100" s="224"/>
      <c r="Z100" s="224"/>
      <c r="AA100" s="489"/>
      <c r="AB100" s="489"/>
      <c r="AC100" s="217"/>
      <c r="AD100" s="224"/>
      <c r="AE100" s="489"/>
    </row>
    <row r="101" spans="3:31" ht="16.2" customHeight="1">
      <c r="C101" s="489"/>
      <c r="D101" s="489"/>
      <c r="E101" s="217"/>
      <c r="F101" s="224"/>
      <c r="G101" s="224"/>
      <c r="H101" s="224"/>
      <c r="I101" s="489"/>
      <c r="J101" s="489"/>
      <c r="K101" s="217"/>
      <c r="L101" s="224"/>
      <c r="M101" s="224"/>
      <c r="N101" s="224"/>
      <c r="O101" s="489"/>
      <c r="P101" s="489"/>
      <c r="Q101" s="217"/>
      <c r="R101" s="224"/>
      <c r="S101" s="224"/>
      <c r="T101" s="224"/>
      <c r="U101" s="489"/>
      <c r="V101" s="489"/>
      <c r="W101" s="217"/>
      <c r="X101" s="224"/>
      <c r="Y101" s="224"/>
      <c r="Z101" s="224"/>
      <c r="AA101" s="489"/>
      <c r="AB101" s="489"/>
      <c r="AC101" s="217"/>
      <c r="AD101" s="224"/>
      <c r="AE101" s="489"/>
    </row>
    <row r="102" spans="3:31" ht="16.2" customHeight="1">
      <c r="C102" s="489"/>
      <c r="D102" s="489"/>
      <c r="E102" s="217"/>
      <c r="F102" s="224"/>
      <c r="G102" s="224"/>
      <c r="H102" s="224"/>
      <c r="I102" s="489"/>
      <c r="J102" s="489"/>
      <c r="K102" s="217"/>
      <c r="L102" s="224"/>
      <c r="M102" s="224"/>
      <c r="N102" s="224"/>
      <c r="O102" s="489"/>
      <c r="P102" s="489"/>
      <c r="Q102" s="217"/>
      <c r="R102" s="224"/>
      <c r="S102" s="224"/>
      <c r="T102" s="224"/>
      <c r="U102" s="489"/>
      <c r="V102" s="489"/>
      <c r="W102" s="217"/>
      <c r="X102" s="224"/>
      <c r="Y102" s="224"/>
      <c r="Z102" s="224"/>
      <c r="AA102" s="489"/>
      <c r="AB102" s="489"/>
      <c r="AC102" s="217"/>
      <c r="AD102" s="224"/>
      <c r="AE102" s="489"/>
    </row>
    <row r="103" spans="3:31" ht="16.2" customHeight="1">
      <c r="C103" s="489"/>
      <c r="D103" s="489"/>
      <c r="E103" s="217"/>
      <c r="F103" s="224"/>
      <c r="G103" s="224"/>
      <c r="H103" s="224"/>
      <c r="I103" s="489"/>
      <c r="J103" s="489"/>
      <c r="K103" s="217"/>
      <c r="L103" s="224"/>
      <c r="M103" s="224"/>
      <c r="N103" s="224"/>
      <c r="O103" s="489"/>
      <c r="P103" s="489"/>
      <c r="Q103" s="217"/>
      <c r="R103" s="224"/>
      <c r="S103" s="224"/>
      <c r="T103" s="224"/>
      <c r="U103" s="489"/>
      <c r="V103" s="489"/>
      <c r="W103" s="217"/>
      <c r="X103" s="224"/>
      <c r="Y103" s="224"/>
      <c r="Z103" s="224"/>
      <c r="AA103" s="489"/>
      <c r="AB103" s="489"/>
      <c r="AC103" s="217"/>
      <c r="AD103" s="224"/>
      <c r="AE103" s="489"/>
    </row>
    <row r="104" spans="3:31" ht="16.2" customHeight="1">
      <c r="C104" s="489"/>
      <c r="D104" s="489"/>
      <c r="E104" s="217"/>
      <c r="F104" s="224"/>
      <c r="G104" s="224"/>
      <c r="H104" s="224"/>
      <c r="I104" s="489"/>
      <c r="J104" s="489"/>
      <c r="K104" s="217"/>
      <c r="L104" s="224"/>
      <c r="M104" s="224"/>
      <c r="N104" s="224"/>
      <c r="O104" s="489"/>
      <c r="P104" s="489"/>
      <c r="Q104" s="217"/>
      <c r="R104" s="224"/>
      <c r="S104" s="224"/>
      <c r="T104" s="224"/>
      <c r="U104" s="489"/>
      <c r="V104" s="489"/>
      <c r="W104" s="217"/>
      <c r="X104" s="224"/>
      <c r="Y104" s="224"/>
      <c r="Z104" s="224"/>
      <c r="AA104" s="489"/>
      <c r="AB104" s="489"/>
      <c r="AC104" s="217"/>
      <c r="AD104" s="224"/>
      <c r="AE104" s="489"/>
    </row>
    <row r="105" spans="3:31" ht="16.2" customHeight="1">
      <c r="C105" s="489"/>
      <c r="D105" s="489"/>
      <c r="E105" s="217"/>
      <c r="F105" s="224"/>
      <c r="G105" s="224"/>
      <c r="H105" s="224"/>
      <c r="I105" s="489"/>
      <c r="J105" s="489"/>
      <c r="K105" s="217"/>
      <c r="L105" s="224"/>
      <c r="M105" s="224"/>
      <c r="N105" s="224"/>
      <c r="O105" s="489"/>
      <c r="P105" s="489"/>
      <c r="Q105" s="217"/>
      <c r="R105" s="224"/>
      <c r="S105" s="224"/>
      <c r="T105" s="224"/>
      <c r="U105" s="489"/>
      <c r="V105" s="489"/>
      <c r="W105" s="217"/>
      <c r="X105" s="224"/>
      <c r="Y105" s="224"/>
      <c r="Z105" s="224"/>
      <c r="AA105" s="489"/>
      <c r="AB105" s="489"/>
      <c r="AC105" s="217"/>
      <c r="AD105" s="224"/>
      <c r="AE105" s="489"/>
    </row>
    <row r="106" spans="3:31" ht="16.2" customHeight="1">
      <c r="C106" s="489"/>
      <c r="D106" s="489"/>
      <c r="E106" s="217"/>
      <c r="F106" s="224"/>
      <c r="G106" s="224"/>
      <c r="H106" s="224"/>
      <c r="I106" s="489"/>
      <c r="J106" s="489"/>
      <c r="K106" s="217"/>
      <c r="L106" s="224"/>
      <c r="M106" s="224"/>
      <c r="N106" s="224"/>
      <c r="O106" s="489"/>
      <c r="P106" s="489"/>
      <c r="Q106" s="217"/>
      <c r="R106" s="224"/>
      <c r="S106" s="224"/>
      <c r="T106" s="224"/>
      <c r="U106" s="489"/>
      <c r="V106" s="489"/>
      <c r="W106" s="217"/>
      <c r="X106" s="224"/>
      <c r="Y106" s="224"/>
      <c r="Z106" s="224"/>
      <c r="AA106" s="489"/>
      <c r="AB106" s="489"/>
      <c r="AC106" s="217"/>
      <c r="AD106" s="224"/>
      <c r="AE106" s="489"/>
    </row>
    <row r="107" spans="3:31" ht="16.2" customHeight="1">
      <c r="C107" s="489"/>
      <c r="D107" s="489"/>
      <c r="E107" s="217"/>
      <c r="F107" s="224"/>
      <c r="G107" s="224"/>
      <c r="H107" s="224"/>
      <c r="I107" s="489"/>
      <c r="J107" s="489"/>
      <c r="K107" s="217"/>
      <c r="L107" s="224"/>
      <c r="M107" s="224"/>
      <c r="N107" s="224"/>
      <c r="O107" s="489"/>
      <c r="P107" s="489"/>
      <c r="Q107" s="217"/>
      <c r="R107" s="224"/>
      <c r="S107" s="224"/>
      <c r="T107" s="224"/>
      <c r="U107" s="489"/>
      <c r="V107" s="489"/>
      <c r="W107" s="217"/>
      <c r="X107" s="224"/>
      <c r="Y107" s="224"/>
      <c r="Z107" s="224"/>
      <c r="AA107" s="489"/>
      <c r="AB107" s="489"/>
      <c r="AC107" s="217"/>
      <c r="AD107" s="224"/>
      <c r="AE107" s="489"/>
    </row>
    <row r="108" spans="3:31" ht="16.2" customHeight="1">
      <c r="C108" s="489"/>
      <c r="D108" s="489"/>
      <c r="E108" s="217"/>
      <c r="F108" s="224"/>
      <c r="G108" s="224"/>
      <c r="H108" s="224"/>
      <c r="I108" s="489"/>
      <c r="J108" s="489"/>
      <c r="K108" s="217"/>
      <c r="L108" s="224"/>
      <c r="M108" s="224"/>
      <c r="N108" s="224"/>
      <c r="O108" s="489"/>
      <c r="P108" s="489"/>
      <c r="Q108" s="217"/>
      <c r="R108" s="224"/>
      <c r="S108" s="224"/>
      <c r="T108" s="224"/>
      <c r="U108" s="489"/>
      <c r="V108" s="489"/>
      <c r="W108" s="217"/>
      <c r="X108" s="224"/>
      <c r="Y108" s="224"/>
      <c r="Z108" s="224"/>
      <c r="AA108" s="489"/>
      <c r="AB108" s="489"/>
      <c r="AC108" s="217"/>
      <c r="AD108" s="224"/>
      <c r="AE108" s="489"/>
    </row>
    <row r="109" spans="3:31" ht="16.2" customHeight="1">
      <c r="C109" s="489"/>
      <c r="D109" s="489"/>
      <c r="E109" s="217"/>
      <c r="F109" s="224"/>
      <c r="G109" s="224"/>
      <c r="H109" s="224"/>
      <c r="I109" s="489"/>
      <c r="J109" s="489"/>
      <c r="K109" s="217"/>
      <c r="L109" s="224"/>
      <c r="M109" s="224"/>
      <c r="N109" s="224"/>
      <c r="O109" s="489"/>
      <c r="P109" s="489"/>
      <c r="Q109" s="217"/>
      <c r="R109" s="224"/>
      <c r="S109" s="224"/>
      <c r="T109" s="224"/>
      <c r="U109" s="489"/>
      <c r="V109" s="489"/>
      <c r="W109" s="217"/>
      <c r="X109" s="224"/>
      <c r="Y109" s="224"/>
      <c r="Z109" s="224"/>
      <c r="AA109" s="489"/>
      <c r="AB109" s="489"/>
      <c r="AC109" s="217"/>
      <c r="AD109" s="224"/>
      <c r="AE109" s="489"/>
    </row>
    <row r="110" spans="3:31" ht="16.2" customHeight="1">
      <c r="C110" s="489"/>
      <c r="D110" s="489"/>
      <c r="E110" s="217"/>
      <c r="F110" s="224"/>
      <c r="G110" s="224"/>
      <c r="H110" s="224"/>
      <c r="I110" s="489"/>
      <c r="J110" s="489"/>
      <c r="K110" s="217"/>
      <c r="L110" s="224"/>
      <c r="M110" s="224"/>
      <c r="N110" s="224"/>
      <c r="O110" s="489"/>
      <c r="P110" s="489"/>
      <c r="Q110" s="217"/>
      <c r="R110" s="224"/>
      <c r="S110" s="224"/>
      <c r="T110" s="224"/>
      <c r="U110" s="489"/>
      <c r="V110" s="489"/>
      <c r="W110" s="217"/>
      <c r="X110" s="224"/>
      <c r="Y110" s="224"/>
      <c r="Z110" s="224"/>
      <c r="AA110" s="489"/>
      <c r="AB110" s="489"/>
      <c r="AC110" s="217"/>
      <c r="AD110" s="224"/>
      <c r="AE110" s="489"/>
    </row>
    <row r="111" spans="3:31" ht="16.2" customHeight="1">
      <c r="C111" s="489"/>
      <c r="D111" s="489"/>
      <c r="E111" s="217"/>
      <c r="F111" s="224"/>
      <c r="G111" s="224"/>
      <c r="H111" s="224"/>
      <c r="I111" s="489"/>
      <c r="J111" s="489"/>
      <c r="K111" s="217"/>
      <c r="L111" s="224"/>
      <c r="M111" s="224"/>
      <c r="N111" s="224"/>
      <c r="O111" s="489"/>
      <c r="P111" s="489"/>
      <c r="Q111" s="217"/>
      <c r="R111" s="224"/>
      <c r="S111" s="224"/>
      <c r="T111" s="224"/>
      <c r="U111" s="489"/>
      <c r="V111" s="489"/>
      <c r="W111" s="217"/>
      <c r="X111" s="224"/>
      <c r="Y111" s="224"/>
      <c r="Z111" s="224"/>
      <c r="AA111" s="489"/>
      <c r="AB111" s="489"/>
      <c r="AC111" s="217"/>
      <c r="AD111" s="224"/>
      <c r="AE111" s="489"/>
    </row>
    <row r="112" spans="3:31" ht="16.2" customHeight="1">
      <c r="C112" s="489"/>
      <c r="D112" s="489"/>
      <c r="E112" s="217"/>
      <c r="F112" s="224"/>
      <c r="G112" s="224"/>
      <c r="H112" s="224"/>
      <c r="I112" s="489"/>
      <c r="J112" s="489"/>
      <c r="K112" s="217"/>
      <c r="L112" s="224"/>
      <c r="M112" s="224"/>
      <c r="N112" s="224"/>
      <c r="O112" s="489"/>
      <c r="P112" s="489"/>
      <c r="Q112" s="217"/>
      <c r="R112" s="224"/>
      <c r="S112" s="224"/>
      <c r="T112" s="224"/>
      <c r="U112" s="489"/>
      <c r="V112" s="489"/>
      <c r="W112" s="217"/>
      <c r="X112" s="224"/>
      <c r="Y112" s="224"/>
      <c r="Z112" s="224"/>
      <c r="AA112" s="489"/>
      <c r="AB112" s="489"/>
      <c r="AC112" s="217"/>
      <c r="AD112" s="224"/>
      <c r="AE112" s="489"/>
    </row>
    <row r="113" spans="3:31" ht="16.2" customHeight="1">
      <c r="C113" s="489"/>
      <c r="D113" s="489"/>
      <c r="E113" s="217"/>
      <c r="F113" s="224"/>
      <c r="G113" s="224"/>
      <c r="H113" s="224"/>
      <c r="I113" s="489"/>
      <c r="J113" s="489"/>
      <c r="K113" s="217"/>
      <c r="L113" s="224"/>
      <c r="M113" s="224"/>
      <c r="N113" s="224"/>
      <c r="O113" s="489"/>
      <c r="P113" s="489"/>
      <c r="Q113" s="217"/>
      <c r="R113" s="224"/>
      <c r="S113" s="224"/>
      <c r="T113" s="224"/>
      <c r="U113" s="489"/>
      <c r="V113" s="489"/>
      <c r="W113" s="217"/>
      <c r="X113" s="224"/>
      <c r="Y113" s="224"/>
      <c r="Z113" s="224"/>
      <c r="AA113" s="489"/>
      <c r="AB113" s="489"/>
      <c r="AC113" s="217"/>
      <c r="AD113" s="224"/>
      <c r="AE113" s="489"/>
    </row>
    <row r="114" spans="3:31" ht="16.2" customHeight="1">
      <c r="C114" s="489"/>
      <c r="D114" s="489"/>
      <c r="E114" s="217"/>
      <c r="F114" s="224"/>
      <c r="G114" s="224"/>
      <c r="H114" s="224"/>
      <c r="I114" s="489"/>
      <c r="J114" s="489"/>
      <c r="K114" s="217"/>
      <c r="L114" s="224"/>
      <c r="M114" s="224"/>
      <c r="N114" s="224"/>
      <c r="O114" s="489"/>
      <c r="P114" s="489"/>
      <c r="Q114" s="217"/>
      <c r="R114" s="224"/>
      <c r="S114" s="224"/>
      <c r="T114" s="224"/>
      <c r="U114" s="489"/>
      <c r="V114" s="489"/>
      <c r="W114" s="217"/>
      <c r="X114" s="224"/>
      <c r="Y114" s="224"/>
      <c r="Z114" s="224"/>
      <c r="AA114" s="489"/>
      <c r="AB114" s="489"/>
      <c r="AC114" s="217"/>
      <c r="AD114" s="224"/>
      <c r="AE114" s="489"/>
    </row>
    <row r="115" spans="3:31" ht="16.2" customHeight="1">
      <c r="C115" s="489"/>
      <c r="D115" s="489"/>
      <c r="E115" s="217"/>
      <c r="F115" s="224"/>
      <c r="G115" s="224"/>
      <c r="H115" s="224"/>
      <c r="I115" s="489"/>
      <c r="J115" s="489"/>
      <c r="K115" s="217"/>
      <c r="L115" s="224"/>
      <c r="M115" s="224"/>
      <c r="N115" s="224"/>
      <c r="O115" s="489"/>
      <c r="P115" s="489"/>
      <c r="Q115" s="217"/>
      <c r="R115" s="224"/>
      <c r="S115" s="224"/>
      <c r="T115" s="224"/>
      <c r="U115" s="489"/>
      <c r="V115" s="489"/>
      <c r="W115" s="217"/>
      <c r="X115" s="224"/>
      <c r="Y115" s="224"/>
      <c r="Z115" s="224"/>
      <c r="AA115" s="489"/>
      <c r="AB115" s="489"/>
      <c r="AC115" s="217"/>
      <c r="AD115" s="224"/>
      <c r="AE115" s="489"/>
    </row>
    <row r="116" spans="3:31" ht="16.2" customHeight="1">
      <c r="C116" s="489"/>
      <c r="D116" s="489"/>
      <c r="E116" s="217"/>
      <c r="F116" s="224"/>
      <c r="G116" s="224"/>
      <c r="H116" s="224"/>
      <c r="I116" s="489"/>
      <c r="J116" s="489"/>
      <c r="K116" s="217"/>
      <c r="L116" s="224"/>
      <c r="M116" s="224"/>
      <c r="N116" s="224"/>
      <c r="O116" s="489"/>
      <c r="P116" s="489"/>
      <c r="Q116" s="217"/>
      <c r="R116" s="224"/>
      <c r="S116" s="224"/>
      <c r="T116" s="224"/>
      <c r="U116" s="489"/>
      <c r="V116" s="489"/>
      <c r="W116" s="217"/>
      <c r="X116" s="224"/>
      <c r="Y116" s="224"/>
      <c r="Z116" s="224"/>
      <c r="AA116" s="489"/>
      <c r="AB116" s="489"/>
      <c r="AC116" s="217"/>
      <c r="AD116" s="224"/>
      <c r="AE116" s="489"/>
    </row>
  </sheetData>
  <sheetProtection formatCells="0"/>
  <mergeCells count="14">
    <mergeCell ref="AA7:AE8"/>
    <mergeCell ref="C2:F3"/>
    <mergeCell ref="AA10:AD10"/>
    <mergeCell ref="D5:L6"/>
    <mergeCell ref="D7:L8"/>
    <mergeCell ref="C10:F10"/>
    <mergeCell ref="I10:L10"/>
    <mergeCell ref="O10:R10"/>
    <mergeCell ref="U10:X10"/>
    <mergeCell ref="W5:X5"/>
    <mergeCell ref="W7:X7"/>
    <mergeCell ref="P5:V6"/>
    <mergeCell ref="P7:Q8"/>
    <mergeCell ref="AA5:AC6"/>
  </mergeCells>
  <phoneticPr fontId="2"/>
  <conditionalFormatting sqref="F13 L13:L14 R13:R14 X13:X15 F21 L21:L22 R21 X21:X23 L29 R29">
    <cfRule type="cellIs" dxfId="16" priority="1" operator="greaterThan">
      <formula>D13</formula>
    </cfRule>
  </conditionalFormatting>
  <hyperlinks>
    <hyperlink ref="C2:F3" location="提案表紙!A1" display="大阪府折込資料表" xr:uid="{00000000-0004-0000-1C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&amp;L泉大津市・高石市・泉北郡
&amp;RP-25/34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0">
    <tabColor rgb="FFB6D2F5"/>
    <pageSetUpPr fitToPage="1"/>
  </sheetPr>
  <dimension ref="A1:AE524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6.441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489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490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491</v>
      </c>
      <c r="P7" s="827">
        <f>提案表紙!G9</f>
        <v>0</v>
      </c>
      <c r="Q7" s="828"/>
      <c r="R7" s="7" t="s">
        <v>676</v>
      </c>
      <c r="S7"/>
      <c r="T7"/>
      <c r="U7" s="410">
        <f>岸和田市折込部数+貝塚市折込部数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1445</v>
      </c>
      <c r="C12" s="46" t="s">
        <v>493</v>
      </c>
      <c r="D12"/>
      <c r="G12" s="51">
        <v>2</v>
      </c>
      <c r="H12" s="488" t="s">
        <v>1445</v>
      </c>
      <c r="I12" s="66"/>
      <c r="J12" s="66"/>
      <c r="K12" s="15"/>
      <c r="M12" s="51">
        <v>2</v>
      </c>
      <c r="N12" s="488" t="s">
        <v>1445</v>
      </c>
      <c r="Q12" s="15"/>
      <c r="R12"/>
      <c r="S12" s="51">
        <v>2</v>
      </c>
      <c r="T12" s="488" t="s">
        <v>1445</v>
      </c>
      <c r="W12" s="15"/>
      <c r="X12"/>
      <c r="Y12" s="51">
        <v>2</v>
      </c>
      <c r="Z12" s="488" t="s">
        <v>1445</v>
      </c>
      <c r="AB12" s="15"/>
      <c r="AC12"/>
      <c r="AD12"/>
    </row>
    <row r="13" spans="1:31" ht="16.2" customHeight="1">
      <c r="A13" s="51">
        <v>3</v>
      </c>
      <c r="B13" s="51">
        <v>72409</v>
      </c>
      <c r="C13" s="441" t="s">
        <v>494</v>
      </c>
      <c r="D13" s="148">
        <v>950</v>
      </c>
      <c r="E13" s="155"/>
      <c r="F13" s="404"/>
      <c r="G13" s="51">
        <v>3</v>
      </c>
      <c r="H13" s="51">
        <v>73407</v>
      </c>
      <c r="I13" s="691" t="s">
        <v>494</v>
      </c>
      <c r="J13" s="352">
        <v>2000</v>
      </c>
      <c r="K13" s="155"/>
      <c r="L13" s="404"/>
      <c r="M13" s="51">
        <v>3</v>
      </c>
      <c r="N13" s="51">
        <v>75463</v>
      </c>
      <c r="O13" s="441" t="s">
        <v>494</v>
      </c>
      <c r="P13" s="148">
        <v>2400</v>
      </c>
      <c r="Q13" s="130"/>
      <c r="R13" s="404"/>
      <c r="S13" s="51">
        <v>3</v>
      </c>
      <c r="T13" s="51">
        <v>74533</v>
      </c>
      <c r="U13" s="441" t="s">
        <v>1372</v>
      </c>
      <c r="V13" s="148">
        <v>2200</v>
      </c>
      <c r="W13" s="155"/>
      <c r="X13" s="404"/>
      <c r="Y13" s="51">
        <v>3</v>
      </c>
      <c r="Z13" s="51"/>
      <c r="AA13" s="688"/>
      <c r="AB13" s="511"/>
      <c r="AC13" s="130"/>
      <c r="AD13" s="541"/>
      <c r="AE13" s="513"/>
    </row>
    <row r="14" spans="1:31" ht="16.2" customHeight="1">
      <c r="A14" s="51">
        <v>3</v>
      </c>
      <c r="B14" s="51">
        <v>72411</v>
      </c>
      <c r="C14" s="386" t="s">
        <v>495</v>
      </c>
      <c r="D14" s="143">
        <v>1750</v>
      </c>
      <c r="E14" s="142"/>
      <c r="F14" s="405"/>
      <c r="G14" s="51">
        <v>3</v>
      </c>
      <c r="H14" s="51">
        <v>73409</v>
      </c>
      <c r="I14" s="386" t="s">
        <v>495</v>
      </c>
      <c r="J14" s="143">
        <v>600</v>
      </c>
      <c r="K14" s="142"/>
      <c r="L14" s="405"/>
      <c r="M14" s="51">
        <v>3</v>
      </c>
      <c r="N14" s="51">
        <v>75465</v>
      </c>
      <c r="O14" s="698" t="s">
        <v>505</v>
      </c>
      <c r="P14" s="143">
        <v>650</v>
      </c>
      <c r="Q14" s="168"/>
      <c r="R14" s="405"/>
      <c r="S14" s="51">
        <v>3</v>
      </c>
      <c r="T14" s="51">
        <v>74539</v>
      </c>
      <c r="U14" s="386" t="s">
        <v>1555</v>
      </c>
      <c r="V14" s="143">
        <v>2300</v>
      </c>
      <c r="W14" s="168"/>
      <c r="X14" s="405"/>
      <c r="Y14" s="51">
        <v>3</v>
      </c>
      <c r="Z14" s="51"/>
      <c r="AA14" s="561"/>
      <c r="AB14" s="515"/>
      <c r="AC14" s="168"/>
      <c r="AD14" s="550"/>
      <c r="AE14" s="516"/>
    </row>
    <row r="15" spans="1:31" ht="16.2" customHeight="1">
      <c r="A15" s="51">
        <v>3</v>
      </c>
      <c r="B15" s="51">
        <v>72413</v>
      </c>
      <c r="C15" s="386" t="s">
        <v>496</v>
      </c>
      <c r="D15" s="143">
        <v>1100</v>
      </c>
      <c r="E15" s="142"/>
      <c r="F15" s="405"/>
      <c r="G15" s="51">
        <v>3</v>
      </c>
      <c r="H15" s="51">
        <v>73411</v>
      </c>
      <c r="I15" s="386" t="s">
        <v>497</v>
      </c>
      <c r="J15" s="143">
        <v>1250</v>
      </c>
      <c r="K15" s="142"/>
      <c r="L15" s="405"/>
      <c r="M15" s="51">
        <v>3</v>
      </c>
      <c r="N15" s="51">
        <v>75467</v>
      </c>
      <c r="O15" s="698" t="s">
        <v>506</v>
      </c>
      <c r="P15" s="143">
        <v>1100</v>
      </c>
      <c r="Q15" s="168"/>
      <c r="R15" s="405"/>
      <c r="S15" s="51">
        <v>3</v>
      </c>
      <c r="T15" s="51">
        <v>74541</v>
      </c>
      <c r="U15" s="698" t="s">
        <v>507</v>
      </c>
      <c r="V15" s="143">
        <v>1250</v>
      </c>
      <c r="W15" s="168"/>
      <c r="X15" s="405"/>
      <c r="Y15" s="51">
        <v>3</v>
      </c>
      <c r="Z15" s="51"/>
      <c r="AA15" s="561"/>
      <c r="AB15" s="515"/>
      <c r="AC15" s="168"/>
      <c r="AD15" s="550"/>
      <c r="AE15" s="516"/>
    </row>
    <row r="16" spans="1:31" ht="16.2" customHeight="1">
      <c r="A16" s="51">
        <v>3</v>
      </c>
      <c r="B16" s="51">
        <v>72415</v>
      </c>
      <c r="C16" s="386" t="s">
        <v>497</v>
      </c>
      <c r="D16" s="143">
        <v>600</v>
      </c>
      <c r="E16" s="142"/>
      <c r="F16" s="405"/>
      <c r="G16" s="51">
        <v>3</v>
      </c>
      <c r="H16" s="51">
        <v>73413</v>
      </c>
      <c r="I16" s="619" t="s">
        <v>499</v>
      </c>
      <c r="J16" s="143">
        <v>1950</v>
      </c>
      <c r="K16" s="142"/>
      <c r="L16" s="405"/>
      <c r="M16" s="51">
        <v>3</v>
      </c>
      <c r="N16" s="51">
        <v>75469</v>
      </c>
      <c r="O16" s="698" t="s">
        <v>501</v>
      </c>
      <c r="P16" s="143">
        <v>550</v>
      </c>
      <c r="Q16" s="168"/>
      <c r="R16" s="405"/>
      <c r="S16" s="51">
        <v>3</v>
      </c>
      <c r="T16" s="51">
        <v>74543</v>
      </c>
      <c r="U16" s="698" t="s">
        <v>498</v>
      </c>
      <c r="V16" s="143">
        <v>3050</v>
      </c>
      <c r="W16" s="168"/>
      <c r="X16" s="405"/>
      <c r="Y16" s="51">
        <v>3</v>
      </c>
      <c r="Z16" s="51"/>
      <c r="AA16" s="561"/>
      <c r="AB16" s="515"/>
      <c r="AC16" s="168"/>
      <c r="AD16" s="550"/>
      <c r="AE16" s="516"/>
    </row>
    <row r="17" spans="1:31" ht="16.2" customHeight="1">
      <c r="A17" s="51">
        <v>3</v>
      </c>
      <c r="B17" s="51">
        <v>72417</v>
      </c>
      <c r="C17" s="386" t="s">
        <v>498</v>
      </c>
      <c r="D17" s="143">
        <v>500</v>
      </c>
      <c r="E17" s="142"/>
      <c r="F17" s="405"/>
      <c r="G17" s="51">
        <v>3</v>
      </c>
      <c r="H17" s="51">
        <v>73415</v>
      </c>
      <c r="I17" s="386" t="s">
        <v>500</v>
      </c>
      <c r="J17" s="143">
        <v>650</v>
      </c>
      <c r="K17" s="142"/>
      <c r="L17" s="405"/>
      <c r="M17" s="51">
        <v>3</v>
      </c>
      <c r="N17" s="51">
        <v>75471</v>
      </c>
      <c r="O17" s="386" t="s">
        <v>497</v>
      </c>
      <c r="P17" s="143">
        <v>3300</v>
      </c>
      <c r="Q17" s="168"/>
      <c r="R17" s="405"/>
      <c r="S17" s="51">
        <v>3</v>
      </c>
      <c r="T17" s="51">
        <v>74547</v>
      </c>
      <c r="U17" s="386" t="s">
        <v>508</v>
      </c>
      <c r="V17" s="143">
        <v>1400</v>
      </c>
      <c r="W17" s="168"/>
      <c r="X17" s="405"/>
      <c r="Y17" s="51">
        <v>3</v>
      </c>
      <c r="Z17" s="51"/>
      <c r="AA17" s="561"/>
      <c r="AB17" s="515"/>
      <c r="AC17" s="168"/>
      <c r="AD17" s="550"/>
      <c r="AE17" s="516"/>
    </row>
    <row r="18" spans="1:31" ht="16.2" customHeight="1">
      <c r="A18" s="51">
        <v>3</v>
      </c>
      <c r="B18" s="51"/>
      <c r="C18" s="512"/>
      <c r="D18" s="139"/>
      <c r="E18" s="142"/>
      <c r="F18" s="132"/>
      <c r="G18" s="51">
        <v>3</v>
      </c>
      <c r="H18" s="51">
        <v>73417</v>
      </c>
      <c r="I18" s="386" t="s">
        <v>501</v>
      </c>
      <c r="J18" s="143">
        <v>900</v>
      </c>
      <c r="K18" s="142"/>
      <c r="L18" s="405"/>
      <c r="M18" s="51">
        <v>3</v>
      </c>
      <c r="N18" s="51">
        <v>75473</v>
      </c>
      <c r="O18" s="698" t="s">
        <v>498</v>
      </c>
      <c r="P18" s="143">
        <v>2450</v>
      </c>
      <c r="Q18" s="168"/>
      <c r="R18" s="405"/>
      <c r="S18" s="51">
        <v>3</v>
      </c>
      <c r="T18" s="51">
        <v>74549</v>
      </c>
      <c r="U18" s="386" t="s">
        <v>505</v>
      </c>
      <c r="V18" s="143">
        <v>1950</v>
      </c>
      <c r="W18" s="168"/>
      <c r="X18" s="405"/>
      <c r="Y18" s="51">
        <v>3</v>
      </c>
      <c r="Z18" s="51"/>
      <c r="AA18" s="561"/>
      <c r="AB18" s="515"/>
      <c r="AC18" s="168"/>
      <c r="AD18" s="550"/>
      <c r="AE18" s="516"/>
    </row>
    <row r="19" spans="1:31" ht="16.2" customHeight="1">
      <c r="A19" s="51">
        <v>3</v>
      </c>
      <c r="B19" s="51"/>
      <c r="C19" s="512"/>
      <c r="D19" s="139"/>
      <c r="E19" s="142"/>
      <c r="F19" s="132"/>
      <c r="G19" s="51">
        <v>3</v>
      </c>
      <c r="H19" s="51"/>
      <c r="I19" s="512"/>
      <c r="J19" s="139"/>
      <c r="K19" s="142"/>
      <c r="L19" s="132"/>
      <c r="M19" s="51">
        <v>3</v>
      </c>
      <c r="N19" s="51"/>
      <c r="O19" s="520"/>
      <c r="P19" s="515"/>
      <c r="Q19" s="168"/>
      <c r="R19" s="163"/>
      <c r="S19" s="51">
        <v>3</v>
      </c>
      <c r="T19" s="51"/>
      <c r="U19" s="386"/>
      <c r="V19" s="143"/>
      <c r="W19" s="168"/>
      <c r="X19" s="405"/>
      <c r="Y19" s="51">
        <v>3</v>
      </c>
      <c r="Z19" s="51"/>
      <c r="AA19" s="561"/>
      <c r="AB19" s="515"/>
      <c r="AC19" s="168"/>
      <c r="AD19" s="550"/>
      <c r="AE19" s="516"/>
    </row>
    <row r="20" spans="1:31" ht="16.2" customHeight="1">
      <c r="A20" s="51">
        <v>3</v>
      </c>
      <c r="B20" s="51"/>
      <c r="C20" s="512"/>
      <c r="D20" s="139"/>
      <c r="E20" s="142"/>
      <c r="F20" s="132"/>
      <c r="G20" s="51">
        <v>3</v>
      </c>
      <c r="H20" s="51"/>
      <c r="I20" s="512"/>
      <c r="J20" s="139"/>
      <c r="K20" s="142"/>
      <c r="L20" s="132"/>
      <c r="M20" s="51">
        <v>3</v>
      </c>
      <c r="N20" s="51"/>
      <c r="O20" s="512"/>
      <c r="P20" s="515"/>
      <c r="Q20" s="168"/>
      <c r="R20" s="163"/>
      <c r="S20" s="51">
        <v>3</v>
      </c>
      <c r="T20" s="51"/>
      <c r="U20" s="386"/>
      <c r="V20" s="143"/>
      <c r="W20" s="168"/>
      <c r="X20" s="405"/>
      <c r="Y20" s="51">
        <v>3</v>
      </c>
      <c r="Z20" s="51"/>
      <c r="AA20" s="561"/>
      <c r="AB20" s="515"/>
      <c r="AC20" s="168"/>
      <c r="AD20" s="550"/>
      <c r="AE20" s="516"/>
    </row>
    <row r="21" spans="1:31" ht="16.2" customHeight="1">
      <c r="A21" s="51">
        <v>3</v>
      </c>
      <c r="B21" s="51"/>
      <c r="C21" s="512"/>
      <c r="D21" s="139"/>
      <c r="E21" s="142"/>
      <c r="F21" s="132"/>
      <c r="G21" s="51">
        <v>3</v>
      </c>
      <c r="H21" s="51"/>
      <c r="I21" s="512"/>
      <c r="J21" s="139"/>
      <c r="K21" s="168"/>
      <c r="L21" s="132"/>
      <c r="M21" s="51">
        <v>3</v>
      </c>
      <c r="N21" s="51"/>
      <c r="O21" s="512"/>
      <c r="P21" s="515"/>
      <c r="Q21" s="168"/>
      <c r="R21" s="163"/>
      <c r="S21" s="51">
        <v>3</v>
      </c>
      <c r="T21" s="51"/>
      <c r="U21" s="386"/>
      <c r="V21" s="143"/>
      <c r="W21" s="168"/>
      <c r="X21" s="405"/>
      <c r="Y21" s="51">
        <v>3</v>
      </c>
      <c r="Z21" s="51"/>
      <c r="AA21" s="561"/>
      <c r="AB21" s="515"/>
      <c r="AC21" s="168"/>
      <c r="AD21" s="550"/>
      <c r="AE21" s="516"/>
    </row>
    <row r="22" spans="1:31" ht="16.2" customHeight="1">
      <c r="A22" s="51">
        <v>3</v>
      </c>
      <c r="B22" s="51"/>
      <c r="C22" s="520"/>
      <c r="D22" s="208"/>
      <c r="E22" s="138"/>
      <c r="F22" s="133"/>
      <c r="G22" s="51">
        <v>3</v>
      </c>
      <c r="H22" s="51"/>
      <c r="I22" s="520"/>
      <c r="J22" s="208"/>
      <c r="K22" s="169"/>
      <c r="L22" s="133"/>
      <c r="M22" s="51">
        <v>3</v>
      </c>
      <c r="N22" s="51"/>
      <c r="O22" s="512"/>
      <c r="P22" s="519"/>
      <c r="Q22" s="169"/>
      <c r="R22" s="164"/>
      <c r="S22" s="51">
        <v>3</v>
      </c>
      <c r="T22" s="51"/>
      <c r="U22" s="520"/>
      <c r="V22" s="519"/>
      <c r="W22" s="169"/>
      <c r="X22" s="133"/>
      <c r="Y22" s="51">
        <v>3</v>
      </c>
      <c r="Z22" s="51"/>
      <c r="AA22" s="699"/>
      <c r="AB22" s="519"/>
      <c r="AC22" s="169"/>
      <c r="AD22" s="562"/>
      <c r="AE22" s="516"/>
    </row>
    <row r="23" spans="1:31" ht="16.2" customHeight="1" thickBot="1">
      <c r="A23" s="51">
        <v>3</v>
      </c>
      <c r="B23" s="51"/>
      <c r="C23" s="520"/>
      <c r="D23" s="208"/>
      <c r="E23" s="167"/>
      <c r="F23" s="133"/>
      <c r="G23" s="51">
        <v>3</v>
      </c>
      <c r="H23" s="51"/>
      <c r="I23" s="520"/>
      <c r="J23" s="208"/>
      <c r="K23" s="169"/>
      <c r="L23" s="133"/>
      <c r="M23" s="51">
        <v>3</v>
      </c>
      <c r="N23" s="51"/>
      <c r="O23" s="512"/>
      <c r="P23" s="519"/>
      <c r="Q23" s="169"/>
      <c r="R23" s="164"/>
      <c r="S23" s="51">
        <v>3</v>
      </c>
      <c r="T23" s="673"/>
      <c r="U23" s="675"/>
      <c r="V23" s="519"/>
      <c r="W23" s="169"/>
      <c r="X23" s="133"/>
      <c r="Y23" s="51">
        <v>3</v>
      </c>
      <c r="Z23" s="51"/>
      <c r="AA23" s="699"/>
      <c r="AB23" s="519"/>
      <c r="AC23" s="169"/>
      <c r="AD23" s="562"/>
      <c r="AE23" s="516"/>
    </row>
    <row r="24" spans="1:31" ht="16.2" customHeight="1" thickTop="1">
      <c r="A24" s="51">
        <v>4</v>
      </c>
      <c r="B24" s="51"/>
      <c r="C24" s="523" t="s">
        <v>692</v>
      </c>
      <c r="D24" s="27">
        <f>SUM(D13:D23)</f>
        <v>4900</v>
      </c>
      <c r="E24" s="34"/>
      <c r="F24" s="75">
        <f>SUM(F13:F23)</f>
        <v>0</v>
      </c>
      <c r="G24" s="51">
        <v>4</v>
      </c>
      <c r="H24" s="51"/>
      <c r="I24" s="523" t="s">
        <v>692</v>
      </c>
      <c r="J24" s="27">
        <f>SUM(J13:J23)</f>
        <v>7350</v>
      </c>
      <c r="K24" s="37"/>
      <c r="L24" s="75">
        <f>SUM(L13:L23)</f>
        <v>0</v>
      </c>
      <c r="M24" s="51">
        <v>4</v>
      </c>
      <c r="N24" s="51"/>
      <c r="O24" s="523" t="s">
        <v>692</v>
      </c>
      <c r="P24" s="27">
        <f>SUM(P13:P23)</f>
        <v>10450</v>
      </c>
      <c r="Q24" s="37"/>
      <c r="R24" s="75">
        <f>SUM(R13:R23)</f>
        <v>0</v>
      </c>
      <c r="S24" s="51">
        <v>4</v>
      </c>
      <c r="T24" s="51"/>
      <c r="U24" s="523" t="s">
        <v>692</v>
      </c>
      <c r="V24" s="27">
        <f>SUM(V13:V23)</f>
        <v>12150</v>
      </c>
      <c r="W24" s="37"/>
      <c r="X24" s="75">
        <f>SUM(X13:X23)</f>
        <v>0</v>
      </c>
      <c r="Y24" s="51">
        <v>4</v>
      </c>
      <c r="Z24" s="51"/>
      <c r="AA24" s="523" t="s">
        <v>692</v>
      </c>
      <c r="AB24" s="522">
        <f>SUM(AB13:AB23)</f>
        <v>0</v>
      </c>
      <c r="AC24" s="37"/>
      <c r="AD24" s="689">
        <f>SUM(AD13:AD23)</f>
        <v>0</v>
      </c>
      <c r="AE24" s="524">
        <f>D24+J24+P24+V24+AB24</f>
        <v>34850</v>
      </c>
    </row>
    <row r="25" spans="1:31" ht="16.2" customHeight="1">
      <c r="A25" s="51"/>
      <c r="B25" s="51"/>
      <c r="C25" s="526"/>
      <c r="D25" s="210"/>
      <c r="E25" s="228"/>
      <c r="F25" s="229"/>
      <c r="G25" s="51"/>
      <c r="H25" s="51"/>
      <c r="I25" s="526"/>
      <c r="J25" s="210"/>
      <c r="K25" s="230"/>
      <c r="L25" s="231"/>
      <c r="M25" s="51"/>
      <c r="N25" s="51"/>
      <c r="O25" s="526"/>
      <c r="P25" s="526"/>
      <c r="Q25" s="230"/>
      <c r="R25" s="229"/>
      <c r="S25" s="51"/>
      <c r="T25" s="51"/>
      <c r="U25" s="526"/>
      <c r="V25" s="526"/>
      <c r="W25" s="230"/>
      <c r="X25" s="229"/>
      <c r="Y25" s="51"/>
      <c r="Z25" s="51"/>
      <c r="AA25" s="526"/>
      <c r="AB25" s="526"/>
      <c r="AC25" s="36"/>
      <c r="AD25" s="527" t="s">
        <v>692</v>
      </c>
      <c r="AE25" s="93">
        <f>A岸和田市折込部数+M岸和田市折込部数+S岸和田市折込部数+Y岸和田市折込部数+AD24</f>
        <v>0</v>
      </c>
    </row>
    <row r="26" spans="1:31" ht="16.2" customHeight="1">
      <c r="A26" s="51">
        <v>2</v>
      </c>
      <c r="B26" s="488" t="s">
        <v>1446</v>
      </c>
      <c r="C26" s="46" t="s">
        <v>509</v>
      </c>
      <c r="D26" s="12"/>
      <c r="E26" s="32"/>
      <c r="F26" s="223"/>
      <c r="G26" s="51">
        <v>2</v>
      </c>
      <c r="H26" s="488" t="s">
        <v>1446</v>
      </c>
      <c r="I26" s="464"/>
      <c r="J26" s="211"/>
      <c r="K26" s="232"/>
      <c r="L26" s="223"/>
      <c r="M26" s="51">
        <v>2</v>
      </c>
      <c r="N26" s="488" t="s">
        <v>1446</v>
      </c>
      <c r="O26" s="489"/>
      <c r="P26" s="464"/>
      <c r="Q26" s="232"/>
      <c r="R26" s="223"/>
      <c r="S26" s="51">
        <v>2</v>
      </c>
      <c r="T26" s="488" t="s">
        <v>1446</v>
      </c>
      <c r="U26" s="464"/>
      <c r="V26" s="464"/>
      <c r="W26" s="232"/>
      <c r="X26" s="223"/>
      <c r="Y26" s="51">
        <v>2</v>
      </c>
      <c r="Z26" s="488" t="s">
        <v>1446</v>
      </c>
      <c r="AA26" s="464"/>
      <c r="AB26" s="464"/>
      <c r="AC26" s="35"/>
      <c r="AD26" s="16"/>
      <c r="AE26" s="11"/>
    </row>
    <row r="27" spans="1:31" ht="16.2" customHeight="1">
      <c r="A27" s="51">
        <v>3</v>
      </c>
      <c r="B27" s="51">
        <v>72419</v>
      </c>
      <c r="C27" s="690" t="s">
        <v>510</v>
      </c>
      <c r="D27" s="148">
        <v>1650</v>
      </c>
      <c r="E27" s="142"/>
      <c r="F27" s="404"/>
      <c r="G27" s="51">
        <v>3</v>
      </c>
      <c r="H27" s="51">
        <v>73419</v>
      </c>
      <c r="I27" s="386" t="s">
        <v>510</v>
      </c>
      <c r="J27" s="148">
        <v>1400</v>
      </c>
      <c r="K27" s="142"/>
      <c r="L27" s="404"/>
      <c r="M27" s="51">
        <v>3</v>
      </c>
      <c r="N27" s="51">
        <v>75475</v>
      </c>
      <c r="O27" s="690" t="s">
        <v>510</v>
      </c>
      <c r="P27" s="148">
        <v>500</v>
      </c>
      <c r="Q27" s="142"/>
      <c r="R27" s="404"/>
      <c r="S27" s="51">
        <v>3</v>
      </c>
      <c r="T27" s="51">
        <v>74551</v>
      </c>
      <c r="U27" s="690" t="s">
        <v>510</v>
      </c>
      <c r="V27" s="148">
        <v>1200</v>
      </c>
      <c r="W27" s="142"/>
      <c r="X27" s="404"/>
      <c r="Y27" s="51">
        <v>3</v>
      </c>
      <c r="Z27" s="51"/>
      <c r="AA27" s="688"/>
      <c r="AB27" s="511"/>
      <c r="AC27" s="170"/>
      <c r="AD27" s="171"/>
      <c r="AE27" s="513"/>
    </row>
    <row r="28" spans="1:31" ht="16.2" customHeight="1">
      <c r="A28" s="51">
        <v>3</v>
      </c>
      <c r="B28" s="51"/>
      <c r="C28" s="512"/>
      <c r="D28" s="495"/>
      <c r="E28" s="165"/>
      <c r="F28" s="157"/>
      <c r="G28" s="51">
        <v>3</v>
      </c>
      <c r="H28" s="51">
        <v>73421</v>
      </c>
      <c r="I28" s="691" t="s">
        <v>638</v>
      </c>
      <c r="J28" s="352">
        <v>850</v>
      </c>
      <c r="K28" s="165"/>
      <c r="L28" s="405"/>
      <c r="M28" s="51">
        <v>3</v>
      </c>
      <c r="N28" s="51">
        <v>75477</v>
      </c>
      <c r="O28" s="386" t="s">
        <v>511</v>
      </c>
      <c r="P28" s="352">
        <v>800</v>
      </c>
      <c r="Q28" s="165"/>
      <c r="R28" s="405"/>
      <c r="S28" s="51">
        <v>3</v>
      </c>
      <c r="T28" s="51">
        <v>74553</v>
      </c>
      <c r="U28" s="386" t="s">
        <v>511</v>
      </c>
      <c r="V28" s="352">
        <v>1550</v>
      </c>
      <c r="W28" s="142"/>
      <c r="X28" s="405"/>
      <c r="Y28" s="51">
        <v>3</v>
      </c>
      <c r="Z28" s="51"/>
      <c r="AA28" s="667"/>
      <c r="AB28" s="543"/>
      <c r="AC28" s="172"/>
      <c r="AD28" s="173"/>
      <c r="AE28" s="516"/>
    </row>
    <row r="29" spans="1:31" ht="16.2" customHeight="1">
      <c r="A29" s="51">
        <v>3</v>
      </c>
      <c r="B29" s="51"/>
      <c r="C29" s="692"/>
      <c r="D29" s="226"/>
      <c r="E29" s="165"/>
      <c r="F29" s="157"/>
      <c r="G29" s="51">
        <v>3</v>
      </c>
      <c r="H29" s="51"/>
      <c r="I29" s="692"/>
      <c r="J29" s="226"/>
      <c r="K29" s="165"/>
      <c r="L29" s="157"/>
      <c r="M29" s="51">
        <v>3</v>
      </c>
      <c r="N29" s="51">
        <v>75479</v>
      </c>
      <c r="O29" s="691" t="s">
        <v>1240</v>
      </c>
      <c r="P29" s="352">
        <v>1150</v>
      </c>
      <c r="Q29" s="165"/>
      <c r="R29" s="405"/>
      <c r="S29" s="51">
        <v>3</v>
      </c>
      <c r="T29" s="51">
        <v>74555</v>
      </c>
      <c r="U29" s="691" t="s">
        <v>1071</v>
      </c>
      <c r="V29" s="352">
        <v>1700</v>
      </c>
      <c r="W29" s="142"/>
      <c r="X29" s="405"/>
      <c r="Y29" s="51">
        <v>3</v>
      </c>
      <c r="Z29" s="51"/>
      <c r="AA29" s="667"/>
      <c r="AB29" s="543"/>
      <c r="AC29" s="172"/>
      <c r="AD29" s="173"/>
      <c r="AE29" s="516"/>
    </row>
    <row r="30" spans="1:31" ht="16.2" customHeight="1">
      <c r="A30" s="51">
        <v>3</v>
      </c>
      <c r="B30" s="51"/>
      <c r="C30" s="692"/>
      <c r="D30" s="226"/>
      <c r="E30" s="165"/>
      <c r="F30" s="157"/>
      <c r="G30" s="51">
        <v>3</v>
      </c>
      <c r="H30" s="51"/>
      <c r="I30" s="692"/>
      <c r="J30" s="226"/>
      <c r="K30" s="165"/>
      <c r="L30" s="157"/>
      <c r="M30" s="51">
        <v>3</v>
      </c>
      <c r="N30" s="51">
        <v>75481</v>
      </c>
      <c r="O30" s="691" t="s">
        <v>1275</v>
      </c>
      <c r="P30" s="352">
        <v>700</v>
      </c>
      <c r="Q30" s="165"/>
      <c r="R30" s="405"/>
      <c r="S30" s="51">
        <v>3</v>
      </c>
      <c r="T30" s="51">
        <v>74559</v>
      </c>
      <c r="U30" s="698" t="s">
        <v>1259</v>
      </c>
      <c r="V30" s="542">
        <v>1400</v>
      </c>
      <c r="W30" s="142"/>
      <c r="X30" s="405"/>
      <c r="Y30" s="51">
        <v>3</v>
      </c>
      <c r="Z30" s="51"/>
      <c r="AA30" s="667"/>
      <c r="AB30" s="543"/>
      <c r="AC30" s="172"/>
      <c r="AD30" s="173"/>
      <c r="AE30" s="516"/>
    </row>
    <row r="31" spans="1:31" ht="16.2" customHeight="1">
      <c r="A31" s="51">
        <v>3</v>
      </c>
      <c r="B31" s="51"/>
      <c r="C31" s="692"/>
      <c r="D31" s="226"/>
      <c r="E31" s="165"/>
      <c r="F31" s="157"/>
      <c r="G31" s="51">
        <v>3</v>
      </c>
      <c r="H31" s="51"/>
      <c r="I31" s="692"/>
      <c r="J31" s="226"/>
      <c r="K31" s="165"/>
      <c r="L31" s="157"/>
      <c r="M31" s="51">
        <v>3</v>
      </c>
      <c r="N31" s="51"/>
      <c r="O31" s="692"/>
      <c r="P31" s="226"/>
      <c r="Q31" s="165"/>
      <c r="R31" s="260"/>
      <c r="S31" s="51">
        <v>3</v>
      </c>
      <c r="T31" s="51"/>
      <c r="U31" s="386"/>
      <c r="V31" s="352"/>
      <c r="W31" s="142"/>
      <c r="X31" s="405"/>
      <c r="Y31" s="51">
        <v>3</v>
      </c>
      <c r="Z31" s="51"/>
      <c r="AA31" s="667"/>
      <c r="AB31" s="543"/>
      <c r="AC31" s="172"/>
      <c r="AD31" s="173"/>
      <c r="AE31" s="516"/>
    </row>
    <row r="32" spans="1:31" ht="16.2" customHeight="1">
      <c r="A32" s="51">
        <v>3</v>
      </c>
      <c r="B32" s="51"/>
      <c r="C32" s="692"/>
      <c r="D32" s="226"/>
      <c r="E32" s="165"/>
      <c r="F32" s="157"/>
      <c r="G32" s="51">
        <v>3</v>
      </c>
      <c r="H32" s="51"/>
      <c r="I32" s="692"/>
      <c r="J32" s="226"/>
      <c r="K32" s="165"/>
      <c r="L32" s="157"/>
      <c r="M32" s="51">
        <v>3</v>
      </c>
      <c r="N32" s="51"/>
      <c r="O32" s="692"/>
      <c r="P32" s="226"/>
      <c r="Q32" s="165"/>
      <c r="R32" s="260"/>
      <c r="S32" s="51">
        <v>3</v>
      </c>
      <c r="T32" s="51"/>
      <c r="U32" s="692"/>
      <c r="V32" s="226"/>
      <c r="W32" s="142"/>
      <c r="X32" s="157"/>
      <c r="Y32" s="51">
        <v>3</v>
      </c>
      <c r="Z32" s="51"/>
      <c r="AA32" s="667"/>
      <c r="AB32" s="543"/>
      <c r="AC32" s="172"/>
      <c r="AD32" s="173"/>
      <c r="AE32" s="516"/>
    </row>
    <row r="33" spans="1:31" ht="16.2" customHeight="1" thickBot="1">
      <c r="A33" s="51">
        <v>3</v>
      </c>
      <c r="B33" s="51"/>
      <c r="C33" s="520"/>
      <c r="D33" s="208"/>
      <c r="E33" s="167"/>
      <c r="F33" s="133"/>
      <c r="G33" s="51">
        <v>3</v>
      </c>
      <c r="H33" s="51"/>
      <c r="I33" s="699"/>
      <c r="J33" s="208"/>
      <c r="K33" s="169"/>
      <c r="L33" s="133"/>
      <c r="M33" s="51">
        <v>3</v>
      </c>
      <c r="N33" s="51"/>
      <c r="O33" s="699"/>
      <c r="P33" s="519"/>
      <c r="Q33" s="169"/>
      <c r="R33" s="164"/>
      <c r="S33" s="51">
        <v>3</v>
      </c>
      <c r="T33" s="51"/>
      <c r="U33" s="520"/>
      <c r="V33" s="208"/>
      <c r="W33" s="138"/>
      <c r="X33" s="133"/>
      <c r="Y33" s="51">
        <v>3</v>
      </c>
      <c r="Z33" s="51"/>
      <c r="AA33" s="699"/>
      <c r="AB33" s="519"/>
      <c r="AC33" s="169"/>
      <c r="AD33" s="175"/>
      <c r="AE33" s="516"/>
    </row>
    <row r="34" spans="1:31" ht="16.2" customHeight="1" thickTop="1">
      <c r="A34" s="51">
        <v>4</v>
      </c>
      <c r="B34" s="51"/>
      <c r="C34" s="523" t="s">
        <v>692</v>
      </c>
      <c r="D34" s="27">
        <f>SUM(D27:D33)</f>
        <v>1650</v>
      </c>
      <c r="E34" s="34"/>
      <c r="F34" s="75">
        <f>SUM(F27:F33)</f>
        <v>0</v>
      </c>
      <c r="G34" s="51">
        <v>4</v>
      </c>
      <c r="H34" s="51"/>
      <c r="I34" s="523" t="s">
        <v>692</v>
      </c>
      <c r="J34" s="27">
        <f>SUM(J27:J33)</f>
        <v>2250</v>
      </c>
      <c r="K34" s="37"/>
      <c r="L34" s="75">
        <f>SUM(L27:L33)</f>
        <v>0</v>
      </c>
      <c r="M34" s="51">
        <v>4</v>
      </c>
      <c r="N34" s="51"/>
      <c r="O34" s="523" t="s">
        <v>692</v>
      </c>
      <c r="P34" s="27">
        <f>SUM(P27:P33)</f>
        <v>3150</v>
      </c>
      <c r="Q34" s="37"/>
      <c r="R34" s="75">
        <f>SUM(R27:R33)</f>
        <v>0</v>
      </c>
      <c r="S34" s="51">
        <v>4</v>
      </c>
      <c r="T34" s="51"/>
      <c r="U34" s="523" t="s">
        <v>692</v>
      </c>
      <c r="V34" s="27">
        <f>SUM(V27:V33)</f>
        <v>5850</v>
      </c>
      <c r="W34" s="28"/>
      <c r="X34" s="75">
        <f>SUM(X27:X33)</f>
        <v>0</v>
      </c>
      <c r="Y34" s="51">
        <v>4</v>
      </c>
      <c r="Z34" s="51"/>
      <c r="AA34" s="523" t="s">
        <v>692</v>
      </c>
      <c r="AB34" s="283">
        <f>SUM(AB27:AB33)</f>
        <v>0</v>
      </c>
      <c r="AC34" s="282"/>
      <c r="AD34" s="75">
        <f>SUM(AD27:AD33)</f>
        <v>0</v>
      </c>
      <c r="AE34" s="524">
        <f>D34+J34+P34+V34+AB34</f>
        <v>12900</v>
      </c>
    </row>
    <row r="35" spans="1:31" ht="16.2" customHeight="1">
      <c r="A35" s="51">
        <v>9</v>
      </c>
      <c r="B35" s="51"/>
      <c r="D35" s="1"/>
      <c r="G35" s="51">
        <v>9</v>
      </c>
      <c r="H35" s="51"/>
      <c r="J35" s="1"/>
      <c r="L35" s="233"/>
      <c r="M35" s="51">
        <v>9</v>
      </c>
      <c r="N35" s="51"/>
      <c r="O35" s="489"/>
      <c r="P35" s="489"/>
      <c r="Q35" s="224"/>
      <c r="R35" s="233"/>
      <c r="S35" s="51">
        <v>9</v>
      </c>
      <c r="T35" s="51"/>
      <c r="U35" s="489"/>
      <c r="V35" s="489"/>
      <c r="W35" s="224"/>
      <c r="X35" s="224"/>
      <c r="Y35" s="51">
        <v>9</v>
      </c>
      <c r="Z35" s="51"/>
      <c r="AA35" s="489"/>
      <c r="AB35" s="489"/>
      <c r="AC35" s="224"/>
      <c r="AD35" s="527" t="s">
        <v>692</v>
      </c>
      <c r="AE35" s="93">
        <f>A貝塚市折込部数+M貝塚市折込部数+S貝塚市折込部数+Y貝塚市折込部数+AD34</f>
        <v>0</v>
      </c>
    </row>
    <row r="36" spans="1:31" ht="16.2" customHeight="1">
      <c r="C36" s="489"/>
      <c r="D36" s="298"/>
      <c r="E36" s="217"/>
      <c r="F36" s="224"/>
      <c r="G36" s="224"/>
      <c r="H36" s="224"/>
      <c r="I36" s="489"/>
      <c r="J36" s="298"/>
      <c r="K36" s="224"/>
      <c r="L36" s="224"/>
      <c r="M36" s="224"/>
      <c r="N36" s="224"/>
      <c r="O36" s="489"/>
      <c r="P36" s="489"/>
      <c r="Q36" s="224"/>
      <c r="R36" s="224"/>
      <c r="S36" s="224"/>
      <c r="T36" s="224"/>
      <c r="U36" s="489"/>
      <c r="V36" s="489"/>
      <c r="W36" s="224"/>
      <c r="X36" s="224"/>
      <c r="Y36" s="224"/>
      <c r="Z36" s="224"/>
      <c r="AA36" s="489"/>
      <c r="AB36" s="489"/>
      <c r="AC36" s="224"/>
      <c r="AD36" s="224"/>
      <c r="AE36" s="489"/>
    </row>
    <row r="37" spans="1:31" ht="16.2" customHeight="1">
      <c r="C37" s="489"/>
      <c r="D37" s="298"/>
      <c r="E37" s="217"/>
      <c r="F37" s="224"/>
      <c r="G37" s="224"/>
      <c r="H37" s="224"/>
      <c r="I37" s="489"/>
      <c r="J37" s="298"/>
      <c r="K37" s="224"/>
      <c r="L37" s="224"/>
      <c r="M37" s="224"/>
      <c r="N37" s="224"/>
      <c r="O37" s="489"/>
      <c r="P37" s="489"/>
      <c r="Q37" s="224"/>
      <c r="R37" s="224"/>
      <c r="S37" s="224"/>
      <c r="T37" s="224"/>
      <c r="U37" s="489"/>
      <c r="V37" s="489"/>
      <c r="W37" s="224"/>
      <c r="X37" s="224"/>
      <c r="Y37" s="224"/>
      <c r="Z37" s="224"/>
      <c r="AA37" s="489"/>
      <c r="AB37" s="489"/>
      <c r="AC37" s="224"/>
      <c r="AD37" s="224"/>
      <c r="AE37" s="489"/>
    </row>
    <row r="38" spans="1:31" ht="16.2" customHeight="1">
      <c r="C38" s="489"/>
      <c r="D38" s="298"/>
      <c r="E38" s="217"/>
      <c r="F38" s="224"/>
      <c r="G38" s="224"/>
      <c r="H38" s="224"/>
      <c r="I38" s="489"/>
      <c r="J38" s="298"/>
      <c r="K38" s="224"/>
      <c r="L38" s="224"/>
      <c r="M38" s="224"/>
      <c r="N38" s="224"/>
      <c r="O38" s="489"/>
      <c r="P38" s="489"/>
      <c r="Q38" s="224"/>
      <c r="R38" s="224"/>
      <c r="S38" s="224"/>
      <c r="T38" s="224"/>
      <c r="U38" s="489"/>
      <c r="V38" s="489"/>
      <c r="W38" s="224"/>
      <c r="X38" s="224"/>
      <c r="Y38" s="224"/>
      <c r="Z38" s="224"/>
      <c r="AA38" s="489"/>
      <c r="AB38" s="489"/>
      <c r="AC38" s="224"/>
      <c r="AD38" s="224"/>
      <c r="AE38" s="489"/>
    </row>
    <row r="39" spans="1:31" ht="16.2" customHeight="1">
      <c r="C39" s="489"/>
      <c r="D39" s="298"/>
      <c r="E39" s="217"/>
      <c r="F39" s="224"/>
      <c r="G39" s="224"/>
      <c r="H39" s="224"/>
      <c r="I39" s="489"/>
      <c r="J39" s="298"/>
      <c r="K39" s="224"/>
      <c r="L39" s="224"/>
      <c r="M39" s="224"/>
      <c r="N39" s="224"/>
      <c r="O39" s="489"/>
      <c r="P39" s="489"/>
      <c r="Q39" s="224"/>
      <c r="R39" s="224"/>
      <c r="S39" s="224"/>
      <c r="T39" s="224"/>
      <c r="U39" s="489"/>
      <c r="V39" s="489"/>
      <c r="W39" s="224"/>
      <c r="X39" s="224"/>
      <c r="Y39" s="224"/>
      <c r="Z39" s="224"/>
      <c r="AA39" s="489"/>
      <c r="AB39" s="489"/>
      <c r="AC39" s="224"/>
      <c r="AD39" s="224"/>
      <c r="AE39" s="489"/>
    </row>
    <row r="40" spans="1:31" ht="16.2" customHeight="1">
      <c r="C40" s="489"/>
      <c r="D40" s="298"/>
      <c r="E40" s="217"/>
      <c r="F40" s="224"/>
      <c r="G40" s="224"/>
      <c r="H40" s="224"/>
      <c r="I40" s="489"/>
      <c r="J40" s="298"/>
      <c r="K40" s="224"/>
      <c r="L40" s="224"/>
      <c r="M40" s="224"/>
      <c r="N40" s="224"/>
      <c r="O40" s="489"/>
      <c r="P40" s="489"/>
      <c r="Q40" s="224"/>
      <c r="R40" s="224"/>
      <c r="S40" s="224"/>
      <c r="T40" s="224"/>
      <c r="U40" s="489"/>
      <c r="V40" s="489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1:31" ht="16.2" customHeight="1">
      <c r="C41" s="489"/>
      <c r="D41" s="298"/>
      <c r="E41" s="217"/>
      <c r="F41" s="224"/>
      <c r="G41" s="224"/>
      <c r="H41" s="224"/>
      <c r="I41" s="489"/>
      <c r="J41" s="298"/>
      <c r="K41" s="224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1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298"/>
      <c r="E103" s="217"/>
      <c r="F103" s="224"/>
      <c r="G103" s="224"/>
      <c r="H103" s="224"/>
      <c r="I103" s="489"/>
      <c r="J103" s="298"/>
      <c r="K103" s="224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298"/>
      <c r="E104" s="217"/>
      <c r="F104" s="224"/>
      <c r="G104" s="224"/>
      <c r="H104" s="224"/>
      <c r="I104" s="489"/>
      <c r="J104" s="298"/>
      <c r="K104" s="224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298"/>
      <c r="E105" s="217"/>
      <c r="F105" s="224"/>
      <c r="G105" s="224"/>
      <c r="H105" s="224"/>
      <c r="I105" s="489"/>
      <c r="J105" s="298"/>
      <c r="K105" s="224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298"/>
      <c r="E106" s="217"/>
      <c r="F106" s="224"/>
      <c r="G106" s="224"/>
      <c r="H106" s="224"/>
      <c r="I106" s="489"/>
      <c r="J106" s="298"/>
      <c r="K106" s="224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298"/>
      <c r="E107" s="217"/>
      <c r="F107" s="224"/>
      <c r="G107" s="224"/>
      <c r="H107" s="224"/>
      <c r="I107" s="489"/>
      <c r="J107" s="298"/>
      <c r="K107" s="224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298"/>
      <c r="E108" s="217"/>
      <c r="F108" s="224"/>
      <c r="G108" s="224"/>
      <c r="H108" s="224"/>
      <c r="I108" s="489"/>
      <c r="J108" s="298"/>
      <c r="K108" s="224"/>
      <c r="L108" s="224"/>
      <c r="M108" s="224"/>
      <c r="N108" s="224"/>
      <c r="O108" s="489"/>
      <c r="P108" s="489"/>
      <c r="Q108" s="224"/>
      <c r="R108" s="224"/>
      <c r="S108" s="224"/>
      <c r="T108" s="224"/>
      <c r="U108" s="489"/>
      <c r="V108" s="489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C109" s="489"/>
      <c r="D109" s="298"/>
      <c r="E109" s="217"/>
      <c r="F109" s="224"/>
      <c r="G109" s="224"/>
      <c r="H109" s="224"/>
      <c r="I109" s="489"/>
      <c r="J109" s="298"/>
      <c r="K109" s="224"/>
      <c r="L109" s="224"/>
      <c r="M109" s="224"/>
      <c r="N109" s="224"/>
      <c r="O109" s="489"/>
      <c r="P109" s="489"/>
      <c r="Q109" s="224"/>
      <c r="R109" s="224"/>
      <c r="S109" s="224"/>
      <c r="T109" s="224"/>
      <c r="U109" s="489"/>
      <c r="V109" s="489"/>
      <c r="W109" s="224"/>
      <c r="X109" s="224"/>
      <c r="Y109" s="224"/>
      <c r="Z109" s="224"/>
      <c r="AA109" s="489"/>
      <c r="AB109" s="489"/>
      <c r="AC109" s="224"/>
      <c r="AD109" s="224"/>
      <c r="AE109" s="489"/>
    </row>
    <row r="110" spans="3:31" ht="16.2" customHeight="1">
      <c r="C110" s="489"/>
      <c r="D110" s="298"/>
      <c r="E110" s="217"/>
      <c r="F110" s="224"/>
      <c r="G110" s="224"/>
      <c r="H110" s="224"/>
      <c r="I110" s="489"/>
      <c r="J110" s="298"/>
      <c r="K110" s="224"/>
      <c r="L110" s="224"/>
      <c r="M110" s="224"/>
      <c r="N110" s="224"/>
      <c r="O110" s="489"/>
      <c r="P110" s="489"/>
      <c r="Q110" s="224"/>
      <c r="R110" s="224"/>
      <c r="S110" s="224"/>
      <c r="T110" s="224"/>
      <c r="U110" s="489"/>
      <c r="V110" s="489"/>
      <c r="W110" s="224"/>
      <c r="X110" s="224"/>
      <c r="Y110" s="224"/>
      <c r="Z110" s="224"/>
      <c r="AA110" s="489"/>
      <c r="AB110" s="489"/>
      <c r="AC110" s="224"/>
      <c r="AD110" s="224"/>
      <c r="AE110" s="489"/>
    </row>
    <row r="111" spans="3:31" ht="16.2" customHeight="1">
      <c r="C111" s="489"/>
      <c r="D111" s="298"/>
      <c r="E111" s="217"/>
      <c r="F111" s="224"/>
      <c r="G111" s="224"/>
      <c r="H111" s="224"/>
      <c r="I111" s="489"/>
      <c r="J111" s="298"/>
      <c r="K111" s="224"/>
      <c r="L111" s="224"/>
      <c r="M111" s="224"/>
      <c r="N111" s="224"/>
      <c r="O111" s="489"/>
      <c r="P111" s="489"/>
      <c r="Q111" s="224"/>
      <c r="R111" s="224"/>
      <c r="S111" s="224"/>
      <c r="T111" s="224"/>
      <c r="U111" s="489"/>
      <c r="V111" s="489"/>
      <c r="W111" s="224"/>
      <c r="X111" s="224"/>
      <c r="Y111" s="224"/>
      <c r="Z111" s="224"/>
      <c r="AA111" s="489"/>
      <c r="AB111" s="489"/>
      <c r="AC111" s="224"/>
      <c r="AD111" s="224"/>
      <c r="AE111" s="489"/>
    </row>
    <row r="112" spans="3:31" ht="16.2" customHeight="1">
      <c r="D112" s="1"/>
      <c r="J112" s="1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  <row r="520" spans="4:10" ht="16.2" customHeight="1">
      <c r="D520" s="1"/>
      <c r="J520" s="1"/>
    </row>
    <row r="521" spans="4:10" ht="16.2" customHeight="1">
      <c r="D521" s="1"/>
      <c r="J521" s="1"/>
    </row>
    <row r="522" spans="4:10" ht="16.2" customHeight="1">
      <c r="D522" s="1"/>
      <c r="J522" s="1"/>
    </row>
    <row r="523" spans="4:10" ht="16.2" customHeight="1">
      <c r="D523" s="1"/>
      <c r="J523" s="1"/>
    </row>
    <row r="524" spans="4:10" ht="16.2" customHeight="1">
      <c r="D524" s="1"/>
      <c r="J524" s="1"/>
    </row>
  </sheetData>
  <sheetProtection formatCells="0"/>
  <mergeCells count="14">
    <mergeCell ref="C2:F3"/>
    <mergeCell ref="D5:L6"/>
    <mergeCell ref="W5:X5"/>
    <mergeCell ref="P5:V6"/>
    <mergeCell ref="AA5:AC6"/>
    <mergeCell ref="D7:L8"/>
    <mergeCell ref="C10:F10"/>
    <mergeCell ref="I10:L10"/>
    <mergeCell ref="AA10:AD10"/>
    <mergeCell ref="W7:X7"/>
    <mergeCell ref="O10:R10"/>
    <mergeCell ref="U10:X10"/>
    <mergeCell ref="P7:Q8"/>
    <mergeCell ref="AA7:AE8"/>
  </mergeCells>
  <phoneticPr fontId="2"/>
  <conditionalFormatting sqref="F13:F17 L13:L18 R13:R18 X27:X31 R27:R30 L27:L28 F27 X13:X21">
    <cfRule type="cellIs" dxfId="15" priority="1" operator="greaterThan">
      <formula>D13</formula>
    </cfRule>
  </conditionalFormatting>
  <hyperlinks>
    <hyperlink ref="C2:F3" location="提案表紙!A1" display="大阪府折込資料表" xr:uid="{00000000-0004-0000-1D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&amp;L岸和田市・貝塚市
&amp;RP-26/34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1">
    <tabColor rgb="FFB6D2F5"/>
    <pageSetUpPr fitToPage="1"/>
  </sheetPr>
  <dimension ref="A1:AE524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886718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515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516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517</v>
      </c>
      <c r="P7" s="827">
        <f>提案表紙!G9</f>
        <v>0</v>
      </c>
      <c r="Q7" s="828"/>
      <c r="R7" s="7" t="s">
        <v>676</v>
      </c>
      <c r="S7"/>
      <c r="T7"/>
      <c r="U7" s="410">
        <f>泉佐野市折込部数+和泉市折込部数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1447</v>
      </c>
      <c r="C12" s="46" t="s">
        <v>518</v>
      </c>
      <c r="D12"/>
      <c r="G12" s="51">
        <v>2</v>
      </c>
      <c r="H12" s="488" t="s">
        <v>1447</v>
      </c>
      <c r="J12"/>
      <c r="K12" s="15"/>
      <c r="M12" s="51">
        <v>2</v>
      </c>
      <c r="N12" s="488" t="s">
        <v>1447</v>
      </c>
      <c r="Q12" s="15"/>
      <c r="R12"/>
      <c r="S12" s="51">
        <v>2</v>
      </c>
      <c r="T12" s="488" t="s">
        <v>1447</v>
      </c>
      <c r="U12" s="66"/>
      <c r="V12" s="66"/>
      <c r="W12" s="15"/>
      <c r="X12"/>
      <c r="Y12" s="51">
        <v>2</v>
      </c>
      <c r="Z12" s="488" t="s">
        <v>1447</v>
      </c>
      <c r="AB12" s="15"/>
      <c r="AC12"/>
      <c r="AD12"/>
    </row>
    <row r="13" spans="1:31" ht="16.2" customHeight="1">
      <c r="A13" s="51">
        <v>3</v>
      </c>
      <c r="B13" s="51">
        <v>72421</v>
      </c>
      <c r="C13" s="441" t="s">
        <v>519</v>
      </c>
      <c r="D13" s="148">
        <v>5050</v>
      </c>
      <c r="E13" s="155"/>
      <c r="F13" s="404"/>
      <c r="G13" s="51">
        <v>3</v>
      </c>
      <c r="H13" s="51">
        <v>73423</v>
      </c>
      <c r="I13" s="441" t="s">
        <v>521</v>
      </c>
      <c r="J13" s="148">
        <v>1800</v>
      </c>
      <c r="K13" s="155"/>
      <c r="L13" s="404"/>
      <c r="M13" s="51">
        <v>3</v>
      </c>
      <c r="N13" s="51">
        <v>75483</v>
      </c>
      <c r="O13" s="441" t="s">
        <v>1135</v>
      </c>
      <c r="P13" s="148">
        <v>3100</v>
      </c>
      <c r="Q13" s="130"/>
      <c r="R13" s="404"/>
      <c r="S13" s="51">
        <v>3</v>
      </c>
      <c r="T13" s="51">
        <v>74603</v>
      </c>
      <c r="U13" s="691" t="s">
        <v>520</v>
      </c>
      <c r="V13" s="542">
        <v>1300</v>
      </c>
      <c r="W13" s="155"/>
      <c r="X13" s="404"/>
      <c r="Y13" s="51">
        <v>3</v>
      </c>
      <c r="Z13" s="51"/>
      <c r="AA13" s="688"/>
      <c r="AB13" s="511"/>
      <c r="AC13" s="130"/>
      <c r="AD13" s="541"/>
      <c r="AE13" s="513"/>
    </row>
    <row r="14" spans="1:31" ht="16.2" customHeight="1">
      <c r="A14" s="51">
        <v>3</v>
      </c>
      <c r="B14" s="51"/>
      <c r="C14" s="386"/>
      <c r="D14" s="143"/>
      <c r="E14" s="142"/>
      <c r="F14" s="405"/>
      <c r="G14" s="51">
        <v>3</v>
      </c>
      <c r="H14" s="51"/>
      <c r="I14" s="386"/>
      <c r="J14" s="143"/>
      <c r="K14" s="142"/>
      <c r="L14" s="405"/>
      <c r="M14" s="51">
        <v>3</v>
      </c>
      <c r="N14" s="51"/>
      <c r="O14" s="386"/>
      <c r="P14" s="143"/>
      <c r="Q14" s="168"/>
      <c r="R14" s="132"/>
      <c r="S14" s="51">
        <v>3</v>
      </c>
      <c r="T14" s="51">
        <v>74605</v>
      </c>
      <c r="U14" s="386" t="s">
        <v>523</v>
      </c>
      <c r="V14" s="143">
        <v>1150</v>
      </c>
      <c r="W14" s="168"/>
      <c r="X14" s="405"/>
      <c r="Y14" s="51">
        <v>3</v>
      </c>
      <c r="Z14" s="51"/>
      <c r="AA14" s="561"/>
      <c r="AB14" s="515"/>
      <c r="AC14" s="168"/>
      <c r="AD14" s="550"/>
      <c r="AE14" s="516"/>
    </row>
    <row r="15" spans="1:31" ht="16.2" customHeight="1">
      <c r="A15" s="51">
        <v>3</v>
      </c>
      <c r="B15" s="51"/>
      <c r="C15" s="693"/>
      <c r="D15" s="218"/>
      <c r="E15" s="142"/>
      <c r="F15" s="405"/>
      <c r="G15" s="51">
        <v>3</v>
      </c>
      <c r="H15" s="51"/>
      <c r="I15" s="386"/>
      <c r="J15" s="143"/>
      <c r="K15" s="142"/>
      <c r="L15" s="405"/>
      <c r="M15" s="51">
        <v>3</v>
      </c>
      <c r="N15" s="51"/>
      <c r="O15" s="697"/>
      <c r="P15" s="515"/>
      <c r="Q15" s="168"/>
      <c r="R15" s="163"/>
      <c r="S15" s="51">
        <v>3</v>
      </c>
      <c r="T15" s="51">
        <v>74607</v>
      </c>
      <c r="U15" s="698" t="s">
        <v>524</v>
      </c>
      <c r="V15" s="143">
        <v>950</v>
      </c>
      <c r="W15" s="168"/>
      <c r="X15" s="405"/>
      <c r="Y15" s="51">
        <v>3</v>
      </c>
      <c r="Z15" s="51"/>
      <c r="AA15" s="561"/>
      <c r="AB15" s="515"/>
      <c r="AC15" s="168"/>
      <c r="AD15" s="550"/>
      <c r="AE15" s="516"/>
    </row>
    <row r="16" spans="1:31" ht="16.2" customHeight="1">
      <c r="A16" s="51">
        <v>3</v>
      </c>
      <c r="B16" s="51"/>
      <c r="C16" s="693"/>
      <c r="D16" s="139"/>
      <c r="E16" s="142"/>
      <c r="F16" s="132"/>
      <c r="G16" s="51">
        <v>3</v>
      </c>
      <c r="H16" s="51"/>
      <c r="I16" s="386"/>
      <c r="J16" s="143"/>
      <c r="K16" s="142"/>
      <c r="L16" s="405"/>
      <c r="M16" s="51">
        <v>3</v>
      </c>
      <c r="N16" s="51"/>
      <c r="O16" s="520"/>
      <c r="P16" s="515"/>
      <c r="Q16" s="168"/>
      <c r="R16" s="163"/>
      <c r="S16" s="51">
        <v>3</v>
      </c>
      <c r="T16" s="51">
        <v>74609</v>
      </c>
      <c r="U16" s="698" t="s">
        <v>1533</v>
      </c>
      <c r="V16" s="143">
        <v>2550</v>
      </c>
      <c r="W16" s="168"/>
      <c r="X16" s="405"/>
      <c r="Y16" s="51">
        <v>3</v>
      </c>
      <c r="Z16" s="51"/>
      <c r="AA16" s="561"/>
      <c r="AB16" s="515"/>
      <c r="AC16" s="168"/>
      <c r="AD16" s="550"/>
      <c r="AE16" s="516"/>
    </row>
    <row r="17" spans="1:31" ht="16.2" customHeight="1">
      <c r="A17" s="51">
        <v>3</v>
      </c>
      <c r="B17" s="51"/>
      <c r="C17" s="512"/>
      <c r="D17" s="139"/>
      <c r="E17" s="142"/>
      <c r="F17" s="132"/>
      <c r="G17" s="51">
        <v>3</v>
      </c>
      <c r="H17" s="51"/>
      <c r="I17" s="693"/>
      <c r="J17" s="139"/>
      <c r="K17" s="142"/>
      <c r="L17" s="132"/>
      <c r="M17" s="51">
        <v>3</v>
      </c>
      <c r="N17" s="51"/>
      <c r="O17" s="512"/>
      <c r="P17" s="515"/>
      <c r="Q17" s="168"/>
      <c r="R17" s="163"/>
      <c r="S17" s="51">
        <v>3</v>
      </c>
      <c r="T17" s="51"/>
      <c r="U17" s="698"/>
      <c r="V17" s="143"/>
      <c r="W17" s="168"/>
      <c r="X17" s="405"/>
      <c r="Y17" s="51">
        <v>3</v>
      </c>
      <c r="Z17" s="51"/>
      <c r="AA17" s="561"/>
      <c r="AB17" s="515"/>
      <c r="AC17" s="168"/>
      <c r="AD17" s="550"/>
      <c r="AE17" s="516"/>
    </row>
    <row r="18" spans="1:31" ht="16.2" customHeight="1">
      <c r="A18" s="51">
        <v>3</v>
      </c>
      <c r="B18" s="51"/>
      <c r="C18" s="512"/>
      <c r="D18" s="139"/>
      <c r="E18" s="142"/>
      <c r="F18" s="132"/>
      <c r="G18" s="51">
        <v>3</v>
      </c>
      <c r="H18" s="51"/>
      <c r="I18" s="693"/>
      <c r="J18" s="139"/>
      <c r="K18" s="142"/>
      <c r="L18" s="132"/>
      <c r="M18" s="51">
        <v>3</v>
      </c>
      <c r="N18" s="51"/>
      <c r="O18" s="520"/>
      <c r="P18" s="515"/>
      <c r="Q18" s="168"/>
      <c r="R18" s="163"/>
      <c r="S18" s="51">
        <v>3</v>
      </c>
      <c r="T18" s="51"/>
      <c r="U18" s="532"/>
      <c r="V18" s="139"/>
      <c r="W18" s="168"/>
      <c r="X18" s="132"/>
      <c r="Y18" s="51">
        <v>3</v>
      </c>
      <c r="Z18" s="51"/>
      <c r="AA18" s="561"/>
      <c r="AB18" s="515"/>
      <c r="AC18" s="168"/>
      <c r="AD18" s="550"/>
      <c r="AE18" s="516"/>
    </row>
    <row r="19" spans="1:31" ht="16.2" customHeight="1">
      <c r="A19" s="51">
        <v>3</v>
      </c>
      <c r="B19" s="51"/>
      <c r="C19" s="520"/>
      <c r="D19" s="208"/>
      <c r="E19" s="138"/>
      <c r="F19" s="133"/>
      <c r="G19" s="51">
        <v>3</v>
      </c>
      <c r="H19" s="51"/>
      <c r="I19" s="520"/>
      <c r="J19" s="208"/>
      <c r="K19" s="169"/>
      <c r="L19" s="133"/>
      <c r="M19" s="51">
        <v>3</v>
      </c>
      <c r="N19" s="51"/>
      <c r="O19" s="512"/>
      <c r="P19" s="519"/>
      <c r="Q19" s="169"/>
      <c r="R19" s="164"/>
      <c r="S19" s="51">
        <v>3</v>
      </c>
      <c r="T19" s="51"/>
      <c r="U19" s="520"/>
      <c r="V19" s="519"/>
      <c r="W19" s="169"/>
      <c r="X19" s="133"/>
      <c r="Y19" s="51">
        <v>3</v>
      </c>
      <c r="Z19" s="51"/>
      <c r="AA19" s="699"/>
      <c r="AB19" s="519"/>
      <c r="AC19" s="169"/>
      <c r="AD19" s="562"/>
      <c r="AE19" s="516"/>
    </row>
    <row r="20" spans="1:31" ht="16.2" customHeight="1" thickBot="1">
      <c r="A20" s="51">
        <v>3</v>
      </c>
      <c r="B20" s="51"/>
      <c r="C20" s="520"/>
      <c r="D20" s="208"/>
      <c r="E20" s="167"/>
      <c r="F20" s="133"/>
      <c r="G20" s="51">
        <v>3</v>
      </c>
      <c r="H20" s="51"/>
      <c r="I20" s="520"/>
      <c r="J20" s="208"/>
      <c r="K20" s="169"/>
      <c r="L20" s="133"/>
      <c r="M20" s="51">
        <v>3</v>
      </c>
      <c r="N20" s="51"/>
      <c r="O20" s="512"/>
      <c r="P20" s="519"/>
      <c r="Q20" s="169"/>
      <c r="R20" s="164"/>
      <c r="S20" s="51">
        <v>3</v>
      </c>
      <c r="T20" s="673"/>
      <c r="U20" s="675"/>
      <c r="V20" s="519"/>
      <c r="W20" s="169"/>
      <c r="X20" s="133"/>
      <c r="Y20" s="51">
        <v>3</v>
      </c>
      <c r="Z20" s="51"/>
      <c r="AA20" s="699"/>
      <c r="AB20" s="519"/>
      <c r="AC20" s="169"/>
      <c r="AD20" s="562"/>
      <c r="AE20" s="516"/>
    </row>
    <row r="21" spans="1:31" ht="16.2" customHeight="1" thickTop="1">
      <c r="A21" s="51">
        <v>4</v>
      </c>
      <c r="B21" s="51"/>
      <c r="C21" s="523" t="s">
        <v>692</v>
      </c>
      <c r="D21" s="27">
        <f>SUM(D13:D20)</f>
        <v>5050</v>
      </c>
      <c r="E21" s="34"/>
      <c r="F21" s="75">
        <f>SUM(F13:F20)</f>
        <v>0</v>
      </c>
      <c r="G21" s="51">
        <v>4</v>
      </c>
      <c r="H21" s="51"/>
      <c r="I21" s="523" t="s">
        <v>692</v>
      </c>
      <c r="J21" s="27">
        <f>SUM(J13:J20)</f>
        <v>1800</v>
      </c>
      <c r="K21" s="37"/>
      <c r="L21" s="75">
        <f>SUM(L13:L20)</f>
        <v>0</v>
      </c>
      <c r="M21" s="51">
        <v>4</v>
      </c>
      <c r="N21" s="51"/>
      <c r="O21" s="523" t="s">
        <v>692</v>
      </c>
      <c r="P21" s="27">
        <f>SUM(P13:P20)</f>
        <v>3100</v>
      </c>
      <c r="Q21" s="37"/>
      <c r="R21" s="689">
        <f>SUM(R13:R20)</f>
        <v>0</v>
      </c>
      <c r="S21" s="51">
        <v>4</v>
      </c>
      <c r="T21" s="51"/>
      <c r="U21" s="523" t="s">
        <v>692</v>
      </c>
      <c r="V21" s="27">
        <f>SUM(V13:V20)</f>
        <v>5950</v>
      </c>
      <c r="W21" s="37"/>
      <c r="X21" s="75">
        <f>SUM(X13:X20)</f>
        <v>0</v>
      </c>
      <c r="Y21" s="51">
        <v>4</v>
      </c>
      <c r="Z21" s="51"/>
      <c r="AA21" s="523" t="s">
        <v>692</v>
      </c>
      <c r="AB21" s="522">
        <f>SUM(AB13:AB20)</f>
        <v>0</v>
      </c>
      <c r="AC21" s="37"/>
      <c r="AD21" s="689">
        <f>SUM(AD13:AD20)</f>
        <v>0</v>
      </c>
      <c r="AE21" s="524">
        <f>D21+J21+P21+V21+AB21</f>
        <v>15900</v>
      </c>
    </row>
    <row r="22" spans="1:31" ht="16.2" customHeight="1">
      <c r="A22" s="51"/>
      <c r="B22" s="51"/>
      <c r="C22" s="526"/>
      <c r="D22" s="210"/>
      <c r="E22" s="228"/>
      <c r="F22" s="229"/>
      <c r="G22" s="51"/>
      <c r="H22" s="51"/>
      <c r="I22" s="526"/>
      <c r="J22" s="210"/>
      <c r="K22" s="230"/>
      <c r="L22" s="231"/>
      <c r="M22" s="51"/>
      <c r="N22" s="51"/>
      <c r="O22" s="526"/>
      <c r="P22" s="526"/>
      <c r="Q22" s="230"/>
      <c r="R22" s="229"/>
      <c r="S22" s="51"/>
      <c r="T22" s="51"/>
      <c r="U22" s="526"/>
      <c r="V22" s="526"/>
      <c r="W22" s="230"/>
      <c r="X22" s="229"/>
      <c r="Y22" s="51"/>
      <c r="Z22" s="51"/>
      <c r="AA22" s="526"/>
      <c r="AB22" s="526"/>
      <c r="AC22" s="36"/>
      <c r="AD22" s="527" t="s">
        <v>692</v>
      </c>
      <c r="AE22" s="93">
        <f>A泉佐野市折込部数+M泉佐野市折込部数+S泉佐野市折込部数+Y泉佐野市折込部数+AD21</f>
        <v>0</v>
      </c>
    </row>
    <row r="23" spans="1:31" ht="16.2" customHeight="1">
      <c r="A23" s="51">
        <v>2</v>
      </c>
      <c r="B23" s="488" t="s">
        <v>1448</v>
      </c>
      <c r="C23" s="46" t="s">
        <v>525</v>
      </c>
      <c r="D23" s="12"/>
      <c r="E23" s="32"/>
      <c r="F23" s="223"/>
      <c r="G23" s="51">
        <v>2</v>
      </c>
      <c r="H23" s="488" t="s">
        <v>1448</v>
      </c>
      <c r="I23" s="464"/>
      <c r="J23" s="211"/>
      <c r="K23" s="232"/>
      <c r="L23" s="223"/>
      <c r="M23" s="51">
        <v>2</v>
      </c>
      <c r="N23" s="488" t="s">
        <v>1448</v>
      </c>
      <c r="O23" s="489"/>
      <c r="P23" s="464"/>
      <c r="Q23" s="232"/>
      <c r="R23" s="223"/>
      <c r="S23" s="51">
        <v>2</v>
      </c>
      <c r="T23" s="488" t="s">
        <v>1448</v>
      </c>
      <c r="U23" s="464"/>
      <c r="V23" s="464"/>
      <c r="W23" s="232"/>
      <c r="X23" s="223"/>
      <c r="Y23" s="51">
        <v>2</v>
      </c>
      <c r="Z23" s="488" t="s">
        <v>1448</v>
      </c>
      <c r="AA23" s="464"/>
      <c r="AB23" s="464"/>
      <c r="AC23" s="35"/>
      <c r="AD23" s="16"/>
      <c r="AE23" s="11"/>
    </row>
    <row r="24" spans="1:31" ht="16.2" customHeight="1">
      <c r="A24" s="51">
        <v>3</v>
      </c>
      <c r="B24" s="51">
        <v>72423</v>
      </c>
      <c r="C24" s="441" t="s">
        <v>526</v>
      </c>
      <c r="D24" s="352">
        <v>1450</v>
      </c>
      <c r="E24" s="142"/>
      <c r="F24" s="404"/>
      <c r="G24" s="51">
        <v>3</v>
      </c>
      <c r="H24" s="51">
        <v>73425</v>
      </c>
      <c r="I24" s="691" t="s">
        <v>529</v>
      </c>
      <c r="J24" s="148">
        <v>4400</v>
      </c>
      <c r="K24" s="142"/>
      <c r="L24" s="404"/>
      <c r="M24" s="51">
        <v>3</v>
      </c>
      <c r="N24" s="51">
        <v>75485</v>
      </c>
      <c r="O24" s="441" t="s">
        <v>529</v>
      </c>
      <c r="P24" s="148">
        <v>2000</v>
      </c>
      <c r="Q24" s="142"/>
      <c r="R24" s="404"/>
      <c r="S24" s="51">
        <v>3</v>
      </c>
      <c r="T24" s="51">
        <v>74611</v>
      </c>
      <c r="U24" s="441" t="s">
        <v>529</v>
      </c>
      <c r="V24" s="148">
        <v>950</v>
      </c>
      <c r="W24" s="142"/>
      <c r="X24" s="404"/>
      <c r="Y24" s="51">
        <v>3</v>
      </c>
      <c r="Z24" s="51">
        <v>79004</v>
      </c>
      <c r="AA24" s="441" t="s">
        <v>852</v>
      </c>
      <c r="AB24" s="148">
        <v>1000</v>
      </c>
      <c r="AC24" s="170"/>
      <c r="AD24" s="404"/>
      <c r="AE24" s="513"/>
    </row>
    <row r="25" spans="1:31" ht="16.2" customHeight="1">
      <c r="A25" s="51">
        <v>3</v>
      </c>
      <c r="B25" s="51">
        <v>72425</v>
      </c>
      <c r="C25" s="691" t="s">
        <v>1627</v>
      </c>
      <c r="D25" s="352">
        <v>1800</v>
      </c>
      <c r="E25" s="165"/>
      <c r="F25" s="405"/>
      <c r="G25" s="51">
        <v>3</v>
      </c>
      <c r="H25" s="51">
        <v>73429</v>
      </c>
      <c r="I25" s="691" t="s">
        <v>1084</v>
      </c>
      <c r="J25" s="352">
        <v>1950</v>
      </c>
      <c r="K25" s="165"/>
      <c r="L25" s="405"/>
      <c r="M25" s="51">
        <v>3</v>
      </c>
      <c r="N25" s="51">
        <v>75487</v>
      </c>
      <c r="O25" s="691" t="s">
        <v>528</v>
      </c>
      <c r="P25" s="352">
        <v>7700</v>
      </c>
      <c r="Q25" s="165"/>
      <c r="R25" s="405"/>
      <c r="S25" s="51">
        <v>3</v>
      </c>
      <c r="T25" s="51">
        <v>74615</v>
      </c>
      <c r="U25" s="698" t="s">
        <v>530</v>
      </c>
      <c r="V25" s="352">
        <v>3300</v>
      </c>
      <c r="W25" s="142"/>
      <c r="X25" s="405"/>
      <c r="Y25" s="51">
        <v>3</v>
      </c>
      <c r="Z25" s="51"/>
      <c r="AA25" s="667"/>
      <c r="AB25" s="543"/>
      <c r="AC25" s="172"/>
      <c r="AD25" s="173"/>
      <c r="AE25" s="516"/>
    </row>
    <row r="26" spans="1:31" ht="16.2" customHeight="1">
      <c r="A26" s="51">
        <v>3</v>
      </c>
      <c r="B26" s="51">
        <v>72427</v>
      </c>
      <c r="C26" s="691" t="s">
        <v>527</v>
      </c>
      <c r="D26" s="352">
        <v>1850</v>
      </c>
      <c r="E26" s="165"/>
      <c r="F26" s="405"/>
      <c r="G26" s="51">
        <v>3</v>
      </c>
      <c r="H26" s="51"/>
      <c r="I26" s="691"/>
      <c r="J26" s="352"/>
      <c r="K26" s="165"/>
      <c r="L26" s="405"/>
      <c r="M26" s="51">
        <v>3</v>
      </c>
      <c r="N26" s="51"/>
      <c r="O26" s="691"/>
      <c r="P26" s="352"/>
      <c r="Q26" s="165"/>
      <c r="R26" s="405"/>
      <c r="S26" s="51">
        <v>3</v>
      </c>
      <c r="T26" s="51">
        <v>74617</v>
      </c>
      <c r="U26" s="350" t="s">
        <v>1635</v>
      </c>
      <c r="V26" s="352">
        <v>2000</v>
      </c>
      <c r="W26" s="142"/>
      <c r="X26" s="405"/>
      <c r="Y26" s="51">
        <v>3</v>
      </c>
      <c r="Z26" s="51"/>
      <c r="AA26" s="667"/>
      <c r="AB26" s="543"/>
      <c r="AC26" s="172"/>
      <c r="AD26" s="173"/>
      <c r="AE26" s="516"/>
    </row>
    <row r="27" spans="1:31" ht="16.2" customHeight="1">
      <c r="A27" s="51">
        <v>3</v>
      </c>
      <c r="B27" s="51">
        <v>72429</v>
      </c>
      <c r="C27" s="691" t="s">
        <v>528</v>
      </c>
      <c r="D27" s="352">
        <v>1100</v>
      </c>
      <c r="E27" s="165"/>
      <c r="F27" s="405"/>
      <c r="G27" s="51">
        <v>3</v>
      </c>
      <c r="H27" s="51"/>
      <c r="I27" s="692"/>
      <c r="J27" s="226"/>
      <c r="K27" s="165"/>
      <c r="L27" s="157"/>
      <c r="M27" s="51">
        <v>3</v>
      </c>
      <c r="N27" s="51"/>
      <c r="O27" s="692"/>
      <c r="P27" s="226"/>
      <c r="Q27" s="165"/>
      <c r="R27" s="260"/>
      <c r="S27" s="51">
        <v>3</v>
      </c>
      <c r="T27" s="51">
        <v>74619</v>
      </c>
      <c r="U27" s="386" t="s">
        <v>528</v>
      </c>
      <c r="V27" s="143">
        <v>1550</v>
      </c>
      <c r="W27" s="142"/>
      <c r="X27" s="405"/>
      <c r="Y27" s="51">
        <v>3</v>
      </c>
      <c r="Z27" s="51"/>
      <c r="AA27" s="667"/>
      <c r="AB27" s="543"/>
      <c r="AC27" s="172"/>
      <c r="AD27" s="173"/>
      <c r="AE27" s="516"/>
    </row>
    <row r="28" spans="1:31" ht="16.2" customHeight="1">
      <c r="A28" s="51">
        <v>3</v>
      </c>
      <c r="B28" s="51"/>
      <c r="C28" s="691"/>
      <c r="D28" s="352"/>
      <c r="E28" s="165"/>
      <c r="F28" s="157"/>
      <c r="G28" s="51">
        <v>3</v>
      </c>
      <c r="H28" s="51"/>
      <c r="I28" s="692"/>
      <c r="J28" s="226"/>
      <c r="K28" s="165"/>
      <c r="L28" s="157"/>
      <c r="M28" s="51">
        <v>3</v>
      </c>
      <c r="N28" s="51"/>
      <c r="O28" s="692"/>
      <c r="P28" s="226"/>
      <c r="Q28" s="165"/>
      <c r="R28" s="260"/>
      <c r="S28" s="51">
        <v>3</v>
      </c>
      <c r="T28" s="51">
        <v>74621</v>
      </c>
      <c r="U28" s="386" t="s">
        <v>1245</v>
      </c>
      <c r="V28" s="143">
        <v>1150</v>
      </c>
      <c r="W28" s="142"/>
      <c r="X28" s="405"/>
      <c r="Y28" s="51">
        <v>3</v>
      </c>
      <c r="Z28" s="51"/>
      <c r="AA28" s="667"/>
      <c r="AB28" s="543"/>
      <c r="AC28" s="172"/>
      <c r="AD28" s="173"/>
      <c r="AE28" s="516"/>
    </row>
    <row r="29" spans="1:31" ht="16.2" customHeight="1">
      <c r="A29" s="51">
        <v>3</v>
      </c>
      <c r="B29" s="51"/>
      <c r="C29" s="692"/>
      <c r="D29" s="226"/>
      <c r="E29" s="165"/>
      <c r="F29" s="157"/>
      <c r="G29" s="51">
        <v>3</v>
      </c>
      <c r="H29" s="51"/>
      <c r="I29" s="692"/>
      <c r="J29" s="226"/>
      <c r="K29" s="165"/>
      <c r="L29" s="157"/>
      <c r="M29" s="51">
        <v>3</v>
      </c>
      <c r="N29" s="51"/>
      <c r="O29" s="692"/>
      <c r="P29" s="226"/>
      <c r="Q29" s="165"/>
      <c r="R29" s="260"/>
      <c r="S29" s="51">
        <v>3</v>
      </c>
      <c r="T29" s="51"/>
      <c r="U29" s="386"/>
      <c r="V29" s="143"/>
      <c r="W29" s="142"/>
      <c r="X29" s="405"/>
      <c r="Y29" s="51">
        <v>3</v>
      </c>
      <c r="Z29" s="51"/>
      <c r="AA29" s="667"/>
      <c r="AB29" s="543"/>
      <c r="AC29" s="172"/>
      <c r="AD29" s="173"/>
      <c r="AE29" s="516"/>
    </row>
    <row r="30" spans="1:31" ht="16.2" customHeight="1" thickBot="1">
      <c r="A30" s="51">
        <v>3</v>
      </c>
      <c r="B30" s="51"/>
      <c r="C30" s="520"/>
      <c r="D30" s="208"/>
      <c r="E30" s="167"/>
      <c r="F30" s="134"/>
      <c r="G30" s="51">
        <v>3</v>
      </c>
      <c r="H30" s="51"/>
      <c r="I30" s="555"/>
      <c r="J30" s="209"/>
      <c r="K30" s="312"/>
      <c r="L30" s="134"/>
      <c r="M30" s="51">
        <v>3</v>
      </c>
      <c r="N30" s="673"/>
      <c r="O30" s="700"/>
      <c r="P30" s="519"/>
      <c r="Q30" s="169"/>
      <c r="R30" s="182"/>
      <c r="S30" s="51">
        <v>3</v>
      </c>
      <c r="T30" s="51"/>
      <c r="U30" s="701"/>
      <c r="V30" s="209"/>
      <c r="W30" s="253"/>
      <c r="X30" s="134"/>
      <c r="Y30" s="51">
        <v>3</v>
      </c>
      <c r="Z30" s="673"/>
      <c r="AA30" s="700"/>
      <c r="AB30" s="519"/>
      <c r="AC30" s="169"/>
      <c r="AD30" s="164"/>
      <c r="AE30" s="516"/>
    </row>
    <row r="31" spans="1:31" ht="16.2" customHeight="1" thickTop="1">
      <c r="A31" s="51">
        <v>4</v>
      </c>
      <c r="B31" s="51"/>
      <c r="C31" s="523" t="s">
        <v>692</v>
      </c>
      <c r="D31" s="27">
        <f>SUM(D24:D30)</f>
        <v>6200</v>
      </c>
      <c r="E31" s="34"/>
      <c r="F31" s="75">
        <f>SUM(F24:F30)</f>
        <v>0</v>
      </c>
      <c r="G31" s="51">
        <v>4</v>
      </c>
      <c r="H31" s="51"/>
      <c r="I31" s="523" t="s">
        <v>692</v>
      </c>
      <c r="J31" s="27">
        <f>SUM(J24:J30)</f>
        <v>6350</v>
      </c>
      <c r="K31" s="37"/>
      <c r="L31" s="75">
        <f>SUM(L24:L30)</f>
        <v>0</v>
      </c>
      <c r="M31" s="51">
        <v>4</v>
      </c>
      <c r="N31" s="673"/>
      <c r="O31" s="702" t="s">
        <v>692</v>
      </c>
      <c r="P31" s="27">
        <f>SUM(P24:P30)</f>
        <v>9700</v>
      </c>
      <c r="Q31" s="37"/>
      <c r="R31" s="75">
        <f>SUM(R24:R30)</f>
        <v>0</v>
      </c>
      <c r="S31" s="51">
        <v>4</v>
      </c>
      <c r="T31" s="51"/>
      <c r="U31" s="523" t="s">
        <v>692</v>
      </c>
      <c r="V31" s="27">
        <f>SUM(V24:V30)</f>
        <v>8950</v>
      </c>
      <c r="W31" s="28"/>
      <c r="X31" s="75">
        <f>SUM(X24:X30)</f>
        <v>0</v>
      </c>
      <c r="Y31" s="51">
        <v>4</v>
      </c>
      <c r="Z31" s="51"/>
      <c r="AA31" s="523" t="s">
        <v>692</v>
      </c>
      <c r="AB31" s="266">
        <f>SUM(AB24:AB30)</f>
        <v>1000</v>
      </c>
      <c r="AC31" s="37"/>
      <c r="AD31" s="75">
        <f>SUM(AD24:AD30)</f>
        <v>0</v>
      </c>
      <c r="AE31" s="524">
        <f>D31+J31+P31+V31+AB31</f>
        <v>32200</v>
      </c>
    </row>
    <row r="32" spans="1:31" ht="16.2" customHeight="1">
      <c r="A32" s="51">
        <v>9</v>
      </c>
      <c r="B32" s="51"/>
      <c r="D32" s="1"/>
      <c r="G32" s="51">
        <v>9</v>
      </c>
      <c r="H32" s="51"/>
      <c r="J32" s="1"/>
      <c r="L32" s="233"/>
      <c r="M32" s="51">
        <v>9</v>
      </c>
      <c r="N32" s="51"/>
      <c r="O32" s="489"/>
      <c r="P32" s="489"/>
      <c r="Q32" s="224"/>
      <c r="R32" s="233"/>
      <c r="S32" s="51">
        <v>9</v>
      </c>
      <c r="T32" s="51"/>
      <c r="U32" s="489"/>
      <c r="V32" s="489"/>
      <c r="W32" s="224"/>
      <c r="X32" s="224"/>
      <c r="Y32" s="51">
        <v>9</v>
      </c>
      <c r="Z32" s="51"/>
      <c r="AA32" s="489"/>
      <c r="AB32" s="489"/>
      <c r="AC32" s="224"/>
      <c r="AD32" s="527" t="s">
        <v>692</v>
      </c>
      <c r="AE32" s="93">
        <f>A和泉市折込部数+M和泉市折込部数+S和泉市折込部数+Y和泉市折込部数+AD31</f>
        <v>0</v>
      </c>
    </row>
    <row r="33" spans="3:31" ht="16.2" customHeight="1">
      <c r="C33" s="489"/>
      <c r="D33" s="298"/>
      <c r="E33" s="217"/>
      <c r="F33" s="224"/>
      <c r="G33" s="224"/>
      <c r="H33" s="224"/>
      <c r="I33" s="489"/>
      <c r="J33" s="298"/>
      <c r="K33" s="224"/>
      <c r="L33" s="224"/>
      <c r="M33" s="224"/>
      <c r="N33" s="224"/>
      <c r="O33" s="489"/>
      <c r="P33" s="489"/>
      <c r="Q33" s="224"/>
      <c r="R33" s="224"/>
      <c r="S33" s="224"/>
      <c r="T33" s="224"/>
      <c r="U33" s="489"/>
      <c r="V33" s="489"/>
      <c r="W33" s="224"/>
      <c r="X33" s="224"/>
      <c r="Y33" s="224"/>
      <c r="Z33" s="224"/>
      <c r="AA33" s="489"/>
      <c r="AB33" s="489"/>
      <c r="AC33" s="224"/>
      <c r="AD33" s="224"/>
      <c r="AE33" s="489"/>
    </row>
    <row r="34" spans="3:31" ht="16.2" customHeight="1">
      <c r="C34" s="489"/>
      <c r="D34" s="298"/>
      <c r="E34" s="217"/>
      <c r="F34" s="224"/>
      <c r="G34" s="224"/>
      <c r="H34" s="224"/>
      <c r="I34" s="489"/>
      <c r="J34" s="298"/>
      <c r="K34" s="224"/>
      <c r="L34" s="224"/>
      <c r="M34" s="224"/>
      <c r="N34" s="224"/>
      <c r="O34" s="489"/>
      <c r="P34" s="489"/>
      <c r="Q34" s="224"/>
      <c r="R34" s="224"/>
      <c r="S34" s="224"/>
      <c r="T34" s="224"/>
      <c r="U34" s="489"/>
      <c r="V34" s="489"/>
      <c r="W34" s="224"/>
      <c r="X34" s="224"/>
      <c r="Y34" s="224"/>
      <c r="Z34" s="224"/>
      <c r="AA34" s="489"/>
      <c r="AB34" s="489"/>
      <c r="AC34" s="224"/>
      <c r="AD34" s="224"/>
      <c r="AE34" s="489"/>
    </row>
    <row r="35" spans="3:31" ht="16.2" customHeight="1">
      <c r="C35" s="489"/>
      <c r="D35" s="298"/>
      <c r="E35" s="217"/>
      <c r="F35" s="224"/>
      <c r="G35" s="224"/>
      <c r="H35" s="224"/>
      <c r="I35" s="489"/>
      <c r="J35" s="298"/>
      <c r="K35" s="224"/>
      <c r="L35" s="224"/>
      <c r="M35" s="224"/>
      <c r="N35" s="224"/>
      <c r="O35" s="489"/>
      <c r="P35" s="489"/>
      <c r="Q35" s="224"/>
      <c r="R35" s="224"/>
      <c r="S35" s="224"/>
      <c r="T35" s="224"/>
      <c r="U35" s="489"/>
      <c r="V35" s="489"/>
      <c r="W35" s="224"/>
      <c r="X35" s="224"/>
      <c r="Y35" s="224"/>
      <c r="Z35" s="224"/>
      <c r="AA35" s="489"/>
      <c r="AB35" s="489"/>
      <c r="AC35" s="224"/>
      <c r="AD35" s="224"/>
      <c r="AE35" s="489"/>
    </row>
    <row r="36" spans="3:31" ht="16.2" customHeight="1">
      <c r="C36" s="489"/>
      <c r="D36" s="298"/>
      <c r="E36" s="217"/>
      <c r="F36" s="224"/>
      <c r="G36" s="224"/>
      <c r="H36" s="224"/>
      <c r="I36" s="489"/>
      <c r="J36" s="298"/>
      <c r="K36" s="224"/>
      <c r="L36" s="224"/>
      <c r="M36" s="224"/>
      <c r="N36" s="224"/>
      <c r="O36" s="489"/>
      <c r="P36" s="489"/>
      <c r="Q36" s="224"/>
      <c r="R36" s="224"/>
      <c r="S36" s="224"/>
      <c r="T36" s="224"/>
      <c r="U36" s="489"/>
      <c r="V36" s="489"/>
      <c r="W36" s="224"/>
      <c r="X36" s="224"/>
      <c r="Y36" s="224"/>
      <c r="Z36" s="224"/>
      <c r="AA36" s="489"/>
      <c r="AB36" s="489"/>
      <c r="AC36" s="224"/>
      <c r="AD36" s="224"/>
      <c r="AE36" s="489"/>
    </row>
    <row r="37" spans="3:31" ht="16.2" customHeight="1">
      <c r="C37" s="489"/>
      <c r="D37" s="298"/>
      <c r="E37" s="217"/>
      <c r="F37" s="224"/>
      <c r="G37" s="224"/>
      <c r="H37" s="224"/>
      <c r="I37" s="489"/>
      <c r="J37" s="298"/>
      <c r="K37" s="224"/>
      <c r="L37" s="224"/>
      <c r="M37" s="224"/>
      <c r="N37" s="224"/>
      <c r="O37" s="489"/>
      <c r="P37" s="489"/>
      <c r="Q37" s="224"/>
      <c r="R37" s="224"/>
      <c r="S37" s="224"/>
      <c r="T37" s="224"/>
      <c r="U37" s="489"/>
      <c r="V37" s="489"/>
      <c r="W37" s="224"/>
      <c r="X37" s="224"/>
      <c r="Y37" s="224"/>
      <c r="Z37" s="224"/>
      <c r="AA37" s="489"/>
      <c r="AB37" s="489"/>
      <c r="AC37" s="224"/>
      <c r="AD37" s="224"/>
      <c r="AE37" s="489"/>
    </row>
    <row r="38" spans="3:31" ht="16.2" customHeight="1">
      <c r="C38" s="489"/>
      <c r="D38" s="298"/>
      <c r="E38" s="217"/>
      <c r="F38" s="224"/>
      <c r="G38" s="224"/>
      <c r="H38" s="224"/>
      <c r="I38" s="489"/>
      <c r="J38" s="298"/>
      <c r="K38" s="224"/>
      <c r="L38" s="224"/>
      <c r="M38" s="224"/>
      <c r="N38" s="224"/>
      <c r="O38" s="489"/>
      <c r="P38" s="489"/>
      <c r="Q38" s="224"/>
      <c r="R38" s="224"/>
      <c r="S38" s="224"/>
      <c r="T38" s="224"/>
      <c r="U38" s="489"/>
      <c r="V38" s="489"/>
      <c r="W38" s="224"/>
      <c r="X38" s="224"/>
      <c r="Y38" s="224"/>
      <c r="Z38" s="224"/>
      <c r="AA38" s="489"/>
      <c r="AB38" s="489"/>
      <c r="AC38" s="224"/>
      <c r="AD38" s="224"/>
      <c r="AE38" s="489"/>
    </row>
    <row r="39" spans="3:31" ht="16.2" customHeight="1">
      <c r="C39" s="489"/>
      <c r="D39" s="298"/>
      <c r="E39" s="217"/>
      <c r="F39" s="224"/>
      <c r="G39" s="224"/>
      <c r="H39" s="224"/>
      <c r="I39" s="489"/>
      <c r="J39" s="298"/>
      <c r="K39" s="224"/>
      <c r="L39" s="224"/>
      <c r="M39" s="224"/>
      <c r="N39" s="224"/>
      <c r="O39" s="489"/>
      <c r="P39" s="489"/>
      <c r="Q39" s="224"/>
      <c r="R39" s="224"/>
      <c r="S39" s="224"/>
      <c r="T39" s="224"/>
      <c r="U39" s="489"/>
      <c r="V39" s="489"/>
      <c r="W39" s="224"/>
      <c r="X39" s="224"/>
      <c r="Y39" s="224"/>
      <c r="Z39" s="224"/>
      <c r="AA39" s="489"/>
      <c r="AB39" s="489"/>
      <c r="AC39" s="224"/>
      <c r="AD39" s="224"/>
      <c r="AE39" s="489"/>
    </row>
    <row r="40" spans="3:31" ht="16.2" customHeight="1">
      <c r="C40" s="489"/>
      <c r="D40" s="298"/>
      <c r="E40" s="217"/>
      <c r="F40" s="224"/>
      <c r="G40" s="224"/>
      <c r="H40" s="224"/>
      <c r="I40" s="489"/>
      <c r="J40" s="298"/>
      <c r="K40" s="224"/>
      <c r="L40" s="224"/>
      <c r="M40" s="224"/>
      <c r="N40" s="224"/>
      <c r="O40" s="489"/>
      <c r="P40" s="489"/>
      <c r="Q40" s="224"/>
      <c r="R40" s="224"/>
      <c r="S40" s="224"/>
      <c r="T40" s="224"/>
      <c r="U40" s="489"/>
      <c r="V40" s="489"/>
      <c r="W40" s="224"/>
      <c r="X40" s="224"/>
      <c r="Y40" s="224"/>
      <c r="Z40" s="224"/>
      <c r="AA40" s="489"/>
      <c r="AB40" s="489"/>
      <c r="AC40" s="224"/>
      <c r="AD40" s="224"/>
      <c r="AE40" s="489"/>
    </row>
    <row r="41" spans="3:31" ht="16.2" customHeight="1">
      <c r="C41" s="489"/>
      <c r="D41" s="298"/>
      <c r="E41" s="217"/>
      <c r="F41" s="224"/>
      <c r="G41" s="224"/>
      <c r="H41" s="224"/>
      <c r="I41" s="489"/>
      <c r="J41" s="298"/>
      <c r="K41" s="224"/>
      <c r="L41" s="224"/>
      <c r="M41" s="224"/>
      <c r="N41" s="224"/>
      <c r="O41" s="489"/>
      <c r="P41" s="489"/>
      <c r="Q41" s="224"/>
      <c r="R41" s="224"/>
      <c r="S41" s="224"/>
      <c r="T41" s="224"/>
      <c r="U41" s="489"/>
      <c r="V41" s="489"/>
      <c r="W41" s="224"/>
      <c r="X41" s="224"/>
      <c r="Y41" s="224"/>
      <c r="Z41" s="224"/>
      <c r="AA41" s="489"/>
      <c r="AB41" s="489"/>
      <c r="AC41" s="224"/>
      <c r="AD41" s="224"/>
      <c r="AE41" s="489"/>
    </row>
    <row r="42" spans="3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3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3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3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3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3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3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C103" s="489"/>
      <c r="D103" s="298"/>
      <c r="E103" s="217"/>
      <c r="F103" s="224"/>
      <c r="G103" s="224"/>
      <c r="H103" s="224"/>
      <c r="I103" s="489"/>
      <c r="J103" s="298"/>
      <c r="K103" s="224"/>
      <c r="L103" s="224"/>
      <c r="M103" s="224"/>
      <c r="N103" s="224"/>
      <c r="O103" s="489"/>
      <c r="P103" s="489"/>
      <c r="Q103" s="224"/>
      <c r="R103" s="224"/>
      <c r="S103" s="224"/>
      <c r="T103" s="224"/>
      <c r="U103" s="489"/>
      <c r="V103" s="489"/>
      <c r="W103" s="224"/>
      <c r="X103" s="224"/>
      <c r="Y103" s="224"/>
      <c r="Z103" s="224"/>
      <c r="AA103" s="489"/>
      <c r="AB103" s="489"/>
      <c r="AC103" s="224"/>
      <c r="AD103" s="224"/>
      <c r="AE103" s="489"/>
    </row>
    <row r="104" spans="3:31" ht="16.2" customHeight="1">
      <c r="C104" s="489"/>
      <c r="D104" s="298"/>
      <c r="E104" s="217"/>
      <c r="F104" s="224"/>
      <c r="G104" s="224"/>
      <c r="H104" s="224"/>
      <c r="I104" s="489"/>
      <c r="J104" s="298"/>
      <c r="K104" s="224"/>
      <c r="L104" s="224"/>
      <c r="M104" s="224"/>
      <c r="N104" s="224"/>
      <c r="O104" s="489"/>
      <c r="P104" s="489"/>
      <c r="Q104" s="224"/>
      <c r="R104" s="224"/>
      <c r="S104" s="224"/>
      <c r="T104" s="224"/>
      <c r="U104" s="489"/>
      <c r="V104" s="489"/>
      <c r="W104" s="224"/>
      <c r="X104" s="224"/>
      <c r="Y104" s="224"/>
      <c r="Z104" s="224"/>
      <c r="AA104" s="489"/>
      <c r="AB104" s="489"/>
      <c r="AC104" s="224"/>
      <c r="AD104" s="224"/>
      <c r="AE104" s="489"/>
    </row>
    <row r="105" spans="3:31" ht="16.2" customHeight="1">
      <c r="C105" s="489"/>
      <c r="D105" s="298"/>
      <c r="E105" s="217"/>
      <c r="F105" s="224"/>
      <c r="G105" s="224"/>
      <c r="H105" s="224"/>
      <c r="I105" s="489"/>
      <c r="J105" s="298"/>
      <c r="K105" s="224"/>
      <c r="L105" s="224"/>
      <c r="M105" s="224"/>
      <c r="N105" s="224"/>
      <c r="O105" s="489"/>
      <c r="P105" s="489"/>
      <c r="Q105" s="224"/>
      <c r="R105" s="224"/>
      <c r="S105" s="224"/>
      <c r="T105" s="224"/>
      <c r="U105" s="489"/>
      <c r="V105" s="489"/>
      <c r="W105" s="224"/>
      <c r="X105" s="224"/>
      <c r="Y105" s="224"/>
      <c r="Z105" s="224"/>
      <c r="AA105" s="489"/>
      <c r="AB105" s="489"/>
      <c r="AC105" s="224"/>
      <c r="AD105" s="224"/>
      <c r="AE105" s="489"/>
    </row>
    <row r="106" spans="3:31" ht="16.2" customHeight="1">
      <c r="C106" s="489"/>
      <c r="D106" s="298"/>
      <c r="E106" s="217"/>
      <c r="F106" s="224"/>
      <c r="G106" s="224"/>
      <c r="H106" s="224"/>
      <c r="I106" s="489"/>
      <c r="J106" s="298"/>
      <c r="K106" s="224"/>
      <c r="L106" s="224"/>
      <c r="M106" s="224"/>
      <c r="N106" s="224"/>
      <c r="O106" s="489"/>
      <c r="P106" s="489"/>
      <c r="Q106" s="224"/>
      <c r="R106" s="224"/>
      <c r="S106" s="224"/>
      <c r="T106" s="224"/>
      <c r="U106" s="489"/>
      <c r="V106" s="489"/>
      <c r="W106" s="224"/>
      <c r="X106" s="224"/>
      <c r="Y106" s="224"/>
      <c r="Z106" s="224"/>
      <c r="AA106" s="489"/>
      <c r="AB106" s="489"/>
      <c r="AC106" s="224"/>
      <c r="AD106" s="224"/>
      <c r="AE106" s="489"/>
    </row>
    <row r="107" spans="3:31" ht="16.2" customHeight="1">
      <c r="C107" s="489"/>
      <c r="D107" s="298"/>
      <c r="E107" s="217"/>
      <c r="F107" s="224"/>
      <c r="G107" s="224"/>
      <c r="H107" s="224"/>
      <c r="I107" s="489"/>
      <c r="J107" s="298"/>
      <c r="K107" s="224"/>
      <c r="L107" s="224"/>
      <c r="M107" s="224"/>
      <c r="N107" s="224"/>
      <c r="O107" s="489"/>
      <c r="P107" s="489"/>
      <c r="Q107" s="224"/>
      <c r="R107" s="224"/>
      <c r="S107" s="224"/>
      <c r="T107" s="224"/>
      <c r="U107" s="489"/>
      <c r="V107" s="489"/>
      <c r="W107" s="224"/>
      <c r="X107" s="224"/>
      <c r="Y107" s="224"/>
      <c r="Z107" s="224"/>
      <c r="AA107" s="489"/>
      <c r="AB107" s="489"/>
      <c r="AC107" s="224"/>
      <c r="AD107" s="224"/>
      <c r="AE107" s="489"/>
    </row>
    <row r="108" spans="3:31" ht="16.2" customHeight="1">
      <c r="C108" s="489"/>
      <c r="D108" s="298"/>
      <c r="E108" s="217"/>
      <c r="F108" s="224"/>
      <c r="G108" s="224"/>
      <c r="H108" s="224"/>
      <c r="I108" s="489"/>
      <c r="J108" s="298"/>
      <c r="K108" s="224"/>
      <c r="L108" s="224"/>
      <c r="M108" s="224"/>
      <c r="N108" s="224"/>
      <c r="O108" s="489"/>
      <c r="P108" s="489"/>
      <c r="Q108" s="224"/>
      <c r="R108" s="224"/>
      <c r="S108" s="224"/>
      <c r="T108" s="224"/>
      <c r="U108" s="489"/>
      <c r="V108" s="489"/>
      <c r="W108" s="224"/>
      <c r="X108" s="224"/>
      <c r="Y108" s="224"/>
      <c r="Z108" s="224"/>
      <c r="AA108" s="489"/>
      <c r="AB108" s="489"/>
      <c r="AC108" s="224"/>
      <c r="AD108" s="224"/>
      <c r="AE108" s="489"/>
    </row>
    <row r="109" spans="3:31" ht="16.2" customHeight="1">
      <c r="D109" s="1"/>
      <c r="J109" s="1"/>
    </row>
    <row r="110" spans="3:31" ht="16.2" customHeight="1">
      <c r="D110" s="1"/>
      <c r="J110" s="1"/>
    </row>
    <row r="111" spans="3:31" ht="16.2" customHeight="1">
      <c r="D111" s="1"/>
      <c r="J111" s="1"/>
    </row>
    <row r="112" spans="3:31" ht="16.2" customHeight="1">
      <c r="D112" s="1"/>
      <c r="J112" s="1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  <row r="520" spans="4:10" ht="16.2" customHeight="1">
      <c r="D520" s="1"/>
      <c r="J520" s="1"/>
    </row>
    <row r="521" spans="4:10" ht="16.2" customHeight="1">
      <c r="D521" s="1"/>
      <c r="J521" s="1"/>
    </row>
    <row r="522" spans="4:10" ht="16.2" customHeight="1">
      <c r="D522" s="1"/>
      <c r="J522" s="1"/>
    </row>
    <row r="523" spans="4:10" ht="16.2" customHeight="1">
      <c r="D523" s="1"/>
      <c r="J523" s="1"/>
    </row>
    <row r="524" spans="4:10" ht="16.2" customHeight="1">
      <c r="D524" s="1"/>
      <c r="J524" s="1"/>
    </row>
  </sheetData>
  <sheetProtection formatCells="0"/>
  <mergeCells count="14">
    <mergeCell ref="D7:L8"/>
    <mergeCell ref="C10:F10"/>
    <mergeCell ref="I10:L10"/>
    <mergeCell ref="AA10:AD10"/>
    <mergeCell ref="W7:X7"/>
    <mergeCell ref="O10:R10"/>
    <mergeCell ref="U10:X10"/>
    <mergeCell ref="P7:Q8"/>
    <mergeCell ref="AA7:AE8"/>
    <mergeCell ref="C2:F3"/>
    <mergeCell ref="D5:L6"/>
    <mergeCell ref="W5:X5"/>
    <mergeCell ref="P5:V6"/>
    <mergeCell ref="AA5:AC6"/>
  </mergeCells>
  <phoneticPr fontId="2"/>
  <conditionalFormatting sqref="F13:F15 L13:L16 R13 X13:X17 AD24 R24:R26 L24:L26 F24:F27 X24:X29">
    <cfRule type="cellIs" dxfId="14" priority="1" operator="greaterThan">
      <formula>D13</formula>
    </cfRule>
  </conditionalFormatting>
  <hyperlinks>
    <hyperlink ref="C2:F3" location="提案表紙!A1" display="大阪府折込資料表" xr:uid="{00000000-0004-0000-1E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&amp;L泉佐野市・和泉市&amp;RP-27/34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2">
    <tabColor rgb="FFB6D2F5"/>
    <pageSetUpPr fitToPage="1"/>
  </sheetPr>
  <dimension ref="A1:AE524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6.77734375" style="259" customWidth="1"/>
    <col min="5" max="5" width="3.33203125" style="15" customWidth="1"/>
    <col min="6" max="6" width="8.77734375" style="14" customWidth="1"/>
    <col min="7" max="8" width="8.6640625" style="14" hidden="1" customWidth="1"/>
    <col min="9" max="9" width="13.6640625" customWidth="1"/>
    <col min="10" max="10" width="6.77734375" style="259" customWidth="1"/>
    <col min="11" max="11" width="3.44140625" style="14" customWidth="1"/>
    <col min="12" max="12" width="8.77734375" style="14" customWidth="1"/>
    <col min="13" max="14" width="8.6640625" style="14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20" width="8.6640625" style="14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6" width="8.6640625" style="14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3.2" hidden="1">
      <c r="A1" s="338" t="s">
        <v>1369</v>
      </c>
      <c r="B1" s="51" t="s">
        <v>1370</v>
      </c>
      <c r="C1" s="22"/>
      <c r="D1"/>
      <c r="E1"/>
      <c r="F1" s="51" t="s">
        <v>301</v>
      </c>
      <c r="G1" s="338" t="s">
        <v>1369</v>
      </c>
      <c r="H1" s="51" t="s">
        <v>1370</v>
      </c>
      <c r="J1"/>
      <c r="K1"/>
      <c r="L1" s="51" t="s">
        <v>301</v>
      </c>
      <c r="M1" s="338" t="s">
        <v>1369</v>
      </c>
      <c r="N1" s="51" t="s">
        <v>1370</v>
      </c>
      <c r="O1" s="18"/>
      <c r="Q1"/>
      <c r="R1" s="51" t="s">
        <v>301</v>
      </c>
      <c r="S1" s="338" t="s">
        <v>1369</v>
      </c>
      <c r="T1" s="51" t="s">
        <v>1370</v>
      </c>
      <c r="U1" s="18"/>
      <c r="W1"/>
      <c r="X1" s="51" t="s">
        <v>301</v>
      </c>
      <c r="Y1" s="338" t="s">
        <v>1369</v>
      </c>
      <c r="Z1" s="51" t="s">
        <v>1370</v>
      </c>
      <c r="AA1" s="18"/>
      <c r="AC1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J2"/>
      <c r="K2"/>
      <c r="L2"/>
      <c r="M2"/>
      <c r="N2"/>
      <c r="Q2"/>
      <c r="R2"/>
      <c r="S2" s="51"/>
      <c r="T2"/>
      <c r="W2" s="500"/>
      <c r="X2" s="500" t="s">
        <v>1313</v>
      </c>
      <c r="Y2"/>
      <c r="Z2"/>
      <c r="AC2"/>
      <c r="AD2"/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J3"/>
      <c r="K3"/>
      <c r="L3"/>
      <c r="M3"/>
      <c r="N3"/>
      <c r="Q3"/>
      <c r="R3"/>
      <c r="S3" s="51"/>
      <c r="T3"/>
      <c r="W3" s="500"/>
      <c r="X3" s="500" t="s">
        <v>1501</v>
      </c>
      <c r="Y3"/>
      <c r="Z3"/>
      <c r="AC3"/>
      <c r="AD3"/>
    </row>
    <row r="4" spans="1:31" ht="13.5" customHeight="1">
      <c r="C4" t="s">
        <v>603</v>
      </c>
      <c r="D4"/>
      <c r="E4"/>
      <c r="F4"/>
      <c r="G4"/>
      <c r="H4"/>
      <c r="I4" s="187">
        <v>45717</v>
      </c>
      <c r="J4" s="186" t="s">
        <v>0</v>
      </c>
      <c r="K4" t="s">
        <v>531</v>
      </c>
      <c r="L4"/>
      <c r="M4"/>
      <c r="N4"/>
      <c r="Q4"/>
      <c r="R4"/>
      <c r="S4" s="51"/>
      <c r="T4"/>
      <c r="W4" s="500"/>
      <c r="X4" s="500" t="s">
        <v>1500</v>
      </c>
      <c r="Y4"/>
      <c r="Z4"/>
      <c r="AC4"/>
      <c r="AD4"/>
    </row>
    <row r="5" spans="1:31" ht="13.2" customHeight="1">
      <c r="C5" s="7" t="s">
        <v>605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606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671</v>
      </c>
      <c r="X5" s="822"/>
      <c r="Y5" s="459"/>
      <c r="Z5" s="459"/>
      <c r="AA5" s="840"/>
      <c r="AB5" s="840"/>
      <c r="AC5" s="841"/>
      <c r="AD5" s="6" t="s">
        <v>672</v>
      </c>
      <c r="AE5" s="6" t="s">
        <v>673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532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533</v>
      </c>
      <c r="P7" s="827">
        <f>提案表紙!G9</f>
        <v>0</v>
      </c>
      <c r="Q7" s="828"/>
      <c r="R7" s="7" t="s">
        <v>676</v>
      </c>
      <c r="S7"/>
      <c r="T7"/>
      <c r="U7" s="410">
        <f>泉南市折込部数+阪南市折込部数+泉南郡折込部数</f>
        <v>0</v>
      </c>
      <c r="V7" s="8"/>
      <c r="W7" s="821" t="s">
        <v>677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678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D9"/>
      <c r="E9"/>
      <c r="F9"/>
      <c r="G9"/>
      <c r="H9"/>
      <c r="J9"/>
      <c r="K9"/>
      <c r="L9"/>
      <c r="M9"/>
      <c r="N9"/>
      <c r="Q9"/>
      <c r="R9"/>
      <c r="S9"/>
      <c r="T9"/>
      <c r="W9"/>
      <c r="X9"/>
      <c r="Y9"/>
      <c r="Z9"/>
      <c r="AC9"/>
      <c r="AD9"/>
    </row>
    <row r="10" spans="1:31" ht="16.2" customHeight="1">
      <c r="A10" s="51">
        <v>1</v>
      </c>
      <c r="B10" s="51">
        <v>2</v>
      </c>
      <c r="C10" s="818" t="s">
        <v>679</v>
      </c>
      <c r="D10" s="819"/>
      <c r="E10" s="819"/>
      <c r="F10" s="820"/>
      <c r="G10" s="51">
        <v>1</v>
      </c>
      <c r="H10" s="51">
        <v>3</v>
      </c>
      <c r="I10" s="818" t="s">
        <v>680</v>
      </c>
      <c r="J10" s="819"/>
      <c r="K10" s="819"/>
      <c r="L10" s="820"/>
      <c r="M10" s="51">
        <v>1</v>
      </c>
      <c r="N10" s="51">
        <v>5</v>
      </c>
      <c r="O10" s="818" t="s">
        <v>686</v>
      </c>
      <c r="P10" s="819"/>
      <c r="Q10" s="819"/>
      <c r="R10" s="820"/>
      <c r="S10" s="51">
        <v>1</v>
      </c>
      <c r="T10" s="51">
        <v>4</v>
      </c>
      <c r="U10" s="818" t="s">
        <v>302</v>
      </c>
      <c r="V10" s="819"/>
      <c r="W10" s="819"/>
      <c r="X10" s="820"/>
      <c r="Y10" s="51">
        <v>1</v>
      </c>
      <c r="Z10" s="51">
        <v>9</v>
      </c>
      <c r="AA10" s="818" t="s">
        <v>275</v>
      </c>
      <c r="AB10" s="819"/>
      <c r="AC10" s="819"/>
      <c r="AD10" s="820"/>
      <c r="AE10" s="502" t="s">
        <v>687</v>
      </c>
    </row>
    <row r="11" spans="1:31" ht="16.2" customHeight="1">
      <c r="A11" s="51"/>
      <c r="B11" s="51"/>
      <c r="C11" s="503" t="s">
        <v>213</v>
      </c>
      <c r="D11" s="504" t="s">
        <v>689</v>
      </c>
      <c r="E11" s="319" t="s">
        <v>690</v>
      </c>
      <c r="F11" s="505" t="s">
        <v>212</v>
      </c>
      <c r="G11" s="51"/>
      <c r="H11" s="51"/>
      <c r="I11" s="17" t="s">
        <v>213</v>
      </c>
      <c r="J11" s="504" t="s">
        <v>689</v>
      </c>
      <c r="K11" s="319" t="s">
        <v>690</v>
      </c>
      <c r="L11" s="505" t="s">
        <v>212</v>
      </c>
      <c r="M11" s="51"/>
      <c r="N11" s="51"/>
      <c r="O11" s="17" t="s">
        <v>213</v>
      </c>
      <c r="P11" s="504" t="s">
        <v>689</v>
      </c>
      <c r="Q11" s="319" t="s">
        <v>690</v>
      </c>
      <c r="R11" s="505" t="s">
        <v>212</v>
      </c>
      <c r="S11" s="51"/>
      <c r="T11" s="51"/>
      <c r="U11" s="17" t="s">
        <v>213</v>
      </c>
      <c r="V11" s="504" t="s">
        <v>689</v>
      </c>
      <c r="W11" s="319" t="s">
        <v>690</v>
      </c>
      <c r="X11" s="505" t="s">
        <v>212</v>
      </c>
      <c r="Y11" s="51"/>
      <c r="Z11" s="51"/>
      <c r="AA11" s="17" t="s">
        <v>213</v>
      </c>
      <c r="AB11" s="504" t="s">
        <v>689</v>
      </c>
      <c r="AC11" s="319" t="s">
        <v>690</v>
      </c>
      <c r="AD11" s="505" t="s">
        <v>212</v>
      </c>
      <c r="AE11" s="507" t="s">
        <v>691</v>
      </c>
    </row>
    <row r="12" spans="1:31" ht="16.2" customHeight="1">
      <c r="A12" s="51">
        <v>2</v>
      </c>
      <c r="B12" s="488" t="s">
        <v>1449</v>
      </c>
      <c r="C12" s="46" t="s">
        <v>534</v>
      </c>
      <c r="D12"/>
      <c r="G12" s="51">
        <v>2</v>
      </c>
      <c r="H12" s="488" t="s">
        <v>1449</v>
      </c>
      <c r="J12"/>
      <c r="K12" s="15"/>
      <c r="M12" s="51">
        <v>2</v>
      </c>
      <c r="N12" s="488" t="s">
        <v>1449</v>
      </c>
      <c r="Q12" s="15"/>
      <c r="R12"/>
      <c r="S12" s="51">
        <v>2</v>
      </c>
      <c r="T12" s="488" t="s">
        <v>1449</v>
      </c>
      <c r="W12" s="15"/>
      <c r="X12"/>
      <c r="Y12" s="51">
        <v>2</v>
      </c>
      <c r="Z12" s="488" t="s">
        <v>1449</v>
      </c>
      <c r="AB12" s="15"/>
      <c r="AC12"/>
      <c r="AD12"/>
    </row>
    <row r="13" spans="1:31" ht="16.2" customHeight="1">
      <c r="A13" s="51">
        <v>3</v>
      </c>
      <c r="B13" s="51"/>
      <c r="C13" s="441"/>
      <c r="D13" s="497"/>
      <c r="E13" s="155"/>
      <c r="F13" s="404"/>
      <c r="G13" s="51">
        <v>3</v>
      </c>
      <c r="H13" s="51"/>
      <c r="I13" s="441"/>
      <c r="J13" s="148"/>
      <c r="K13" s="155"/>
      <c r="L13" s="404"/>
      <c r="M13" s="51">
        <v>3</v>
      </c>
      <c r="N13" s="51">
        <v>75489</v>
      </c>
      <c r="O13" s="441" t="s">
        <v>661</v>
      </c>
      <c r="P13" s="148">
        <v>2500</v>
      </c>
      <c r="Q13" s="170"/>
      <c r="R13" s="404"/>
      <c r="S13" s="51">
        <v>3</v>
      </c>
      <c r="T13" s="51">
        <v>74627</v>
      </c>
      <c r="U13" s="441" t="s">
        <v>535</v>
      </c>
      <c r="V13" s="267">
        <v>1050</v>
      </c>
      <c r="W13" s="155"/>
      <c r="X13" s="404"/>
      <c r="Y13" s="51">
        <v>3</v>
      </c>
      <c r="Z13" s="51"/>
      <c r="AA13" s="688"/>
      <c r="AB13" s="511"/>
      <c r="AC13" s="130"/>
      <c r="AD13" s="541"/>
      <c r="AE13" s="513"/>
    </row>
    <row r="14" spans="1:31" ht="16.2" customHeight="1">
      <c r="A14" s="51">
        <v>3</v>
      </c>
      <c r="B14" s="51"/>
      <c r="C14" s="386"/>
      <c r="D14" s="143"/>
      <c r="E14" s="142"/>
      <c r="F14" s="405"/>
      <c r="G14" s="51">
        <v>3</v>
      </c>
      <c r="H14" s="51"/>
      <c r="I14" s="386"/>
      <c r="J14" s="143"/>
      <c r="K14" s="142"/>
      <c r="L14" s="405"/>
      <c r="M14" s="51">
        <v>3</v>
      </c>
      <c r="N14" s="51">
        <v>75491</v>
      </c>
      <c r="O14" s="386" t="s">
        <v>536</v>
      </c>
      <c r="P14" s="143">
        <v>1300</v>
      </c>
      <c r="Q14" s="168"/>
      <c r="R14" s="405"/>
      <c r="S14" s="51">
        <v>3</v>
      </c>
      <c r="T14" s="51">
        <v>74629</v>
      </c>
      <c r="U14" s="386" t="s">
        <v>537</v>
      </c>
      <c r="V14" s="143">
        <v>1350</v>
      </c>
      <c r="W14" s="168"/>
      <c r="X14" s="405"/>
      <c r="Y14" s="51">
        <v>3</v>
      </c>
      <c r="Z14" s="51"/>
      <c r="AA14" s="561"/>
      <c r="AB14" s="515"/>
      <c r="AC14" s="168"/>
      <c r="AD14" s="550"/>
      <c r="AE14" s="516"/>
    </row>
    <row r="15" spans="1:31" ht="16.2" customHeight="1">
      <c r="A15" s="51">
        <v>3</v>
      </c>
      <c r="B15" s="51"/>
      <c r="C15" s="512"/>
      <c r="D15" s="139"/>
      <c r="E15" s="142"/>
      <c r="F15" s="132"/>
      <c r="G15" s="51">
        <v>3</v>
      </c>
      <c r="H15" s="51"/>
      <c r="I15" s="512"/>
      <c r="J15" s="139"/>
      <c r="K15" s="142"/>
      <c r="L15" s="132"/>
      <c r="M15" s="51">
        <v>3</v>
      </c>
      <c r="N15" s="51"/>
      <c r="O15" s="520"/>
      <c r="P15" s="515"/>
      <c r="Q15" s="168"/>
      <c r="R15" s="163"/>
      <c r="S15" s="51">
        <v>3</v>
      </c>
      <c r="T15" s="51"/>
      <c r="U15" s="386"/>
      <c r="V15" s="143"/>
      <c r="W15" s="168"/>
      <c r="X15" s="405"/>
      <c r="Y15" s="51">
        <v>3</v>
      </c>
      <c r="Z15" s="51"/>
      <c r="AA15" s="561"/>
      <c r="AB15" s="515"/>
      <c r="AC15" s="168"/>
      <c r="AD15" s="550"/>
      <c r="AE15" s="516"/>
    </row>
    <row r="16" spans="1:31" ht="16.2" customHeight="1">
      <c r="A16" s="51">
        <v>3</v>
      </c>
      <c r="B16" s="51"/>
      <c r="C16" s="512"/>
      <c r="D16" s="139"/>
      <c r="E16" s="142"/>
      <c r="F16" s="132"/>
      <c r="G16" s="51">
        <v>3</v>
      </c>
      <c r="H16" s="51"/>
      <c r="I16" s="512"/>
      <c r="J16" s="139"/>
      <c r="K16" s="142"/>
      <c r="L16" s="132"/>
      <c r="M16" s="51">
        <v>3</v>
      </c>
      <c r="N16" s="51"/>
      <c r="O16" s="520"/>
      <c r="P16" s="515"/>
      <c r="Q16" s="168"/>
      <c r="R16" s="163"/>
      <c r="S16" s="51">
        <v>3</v>
      </c>
      <c r="T16" s="51"/>
      <c r="U16" s="386"/>
      <c r="V16" s="143"/>
      <c r="W16" s="168"/>
      <c r="X16" s="405"/>
      <c r="Y16" s="51">
        <v>3</v>
      </c>
      <c r="Z16" s="51"/>
      <c r="AA16" s="561"/>
      <c r="AB16" s="515"/>
      <c r="AC16" s="168"/>
      <c r="AD16" s="550"/>
      <c r="AE16" s="516"/>
    </row>
    <row r="17" spans="1:31" ht="16.2" customHeight="1" thickBot="1">
      <c r="A17" s="51">
        <v>3</v>
      </c>
      <c r="B17" s="51"/>
      <c r="C17" s="512"/>
      <c r="D17" s="139"/>
      <c r="E17" s="142"/>
      <c r="F17" s="132"/>
      <c r="G17" s="51">
        <v>3</v>
      </c>
      <c r="H17" s="51"/>
      <c r="I17" s="512"/>
      <c r="J17" s="139"/>
      <c r="K17" s="142"/>
      <c r="L17" s="132"/>
      <c r="M17" s="51">
        <v>3</v>
      </c>
      <c r="N17" s="51"/>
      <c r="O17" s="512"/>
      <c r="P17" s="515"/>
      <c r="Q17" s="168"/>
      <c r="R17" s="163"/>
      <c r="S17" s="51">
        <v>3</v>
      </c>
      <c r="T17" s="51"/>
      <c r="U17" s="386"/>
      <c r="V17" s="143"/>
      <c r="W17" s="168"/>
      <c r="X17" s="405"/>
      <c r="Y17" s="51">
        <v>3</v>
      </c>
      <c r="Z17" s="51"/>
      <c r="AA17" s="561"/>
      <c r="AB17" s="515"/>
      <c r="AC17" s="168"/>
      <c r="AD17" s="550"/>
      <c r="AE17" s="516"/>
    </row>
    <row r="18" spans="1:31" ht="16.2" customHeight="1" thickTop="1">
      <c r="A18" s="51">
        <v>4</v>
      </c>
      <c r="B18" s="51"/>
      <c r="C18" s="523" t="s">
        <v>692</v>
      </c>
      <c r="D18" s="27">
        <f>SUM(D13:D17)</f>
        <v>0</v>
      </c>
      <c r="E18" s="34"/>
      <c r="F18" s="75">
        <f>SUM(F13:F17)</f>
        <v>0</v>
      </c>
      <c r="G18" s="51">
        <v>4</v>
      </c>
      <c r="H18" s="51"/>
      <c r="I18" s="523" t="s">
        <v>692</v>
      </c>
      <c r="J18" s="27">
        <f>SUM(J13:J17)</f>
        <v>0</v>
      </c>
      <c r="K18" s="37"/>
      <c r="L18" s="75">
        <f>SUM(L13:L17)</f>
        <v>0</v>
      </c>
      <c r="M18" s="51">
        <v>4</v>
      </c>
      <c r="N18" s="51"/>
      <c r="O18" s="523" t="s">
        <v>692</v>
      </c>
      <c r="P18" s="27">
        <f>SUM(P13:P17)</f>
        <v>3800</v>
      </c>
      <c r="Q18" s="37"/>
      <c r="R18" s="75">
        <f>SUM(R13:R17)</f>
        <v>0</v>
      </c>
      <c r="S18" s="51">
        <v>4</v>
      </c>
      <c r="T18" s="51"/>
      <c r="U18" s="523" t="s">
        <v>692</v>
      </c>
      <c r="V18" s="27">
        <f>SUM(V13:V17)</f>
        <v>2400</v>
      </c>
      <c r="W18" s="37"/>
      <c r="X18" s="75">
        <f>SUM(X13:X17)</f>
        <v>0</v>
      </c>
      <c r="Y18" s="51">
        <v>4</v>
      </c>
      <c r="Z18" s="51"/>
      <c r="AA18" s="523" t="s">
        <v>692</v>
      </c>
      <c r="AB18" s="522">
        <f>SUM(AB13:AB17)</f>
        <v>0</v>
      </c>
      <c r="AC18" s="37"/>
      <c r="AD18" s="689">
        <f>SUM(AD13:AD17)</f>
        <v>0</v>
      </c>
      <c r="AE18" s="524">
        <f>D18+J18+P18+V18+AB18</f>
        <v>6200</v>
      </c>
    </row>
    <row r="19" spans="1:31" ht="16.2" customHeight="1">
      <c r="A19" s="51"/>
      <c r="B19" s="51"/>
      <c r="C19" s="526"/>
      <c r="D19" s="210"/>
      <c r="E19" s="228"/>
      <c r="F19" s="229"/>
      <c r="G19" s="51"/>
      <c r="H19" s="51"/>
      <c r="I19" s="526"/>
      <c r="J19" s="210"/>
      <c r="K19" s="230"/>
      <c r="L19" s="231"/>
      <c r="M19" s="51"/>
      <c r="N19" s="51"/>
      <c r="O19" s="526"/>
      <c r="P19" s="526"/>
      <c r="Q19" s="230"/>
      <c r="R19" s="229"/>
      <c r="S19" s="51"/>
      <c r="T19" s="51"/>
      <c r="U19" s="526"/>
      <c r="V19" s="526"/>
      <c r="W19" s="230"/>
      <c r="X19" s="229"/>
      <c r="Y19" s="51"/>
      <c r="Z19" s="51"/>
      <c r="AA19" s="526"/>
      <c r="AB19" s="526"/>
      <c r="AC19" s="36"/>
      <c r="AD19" s="527" t="s">
        <v>692</v>
      </c>
      <c r="AE19" s="93">
        <f>A泉南市折込部数+M泉南市折込部数+S泉南市折込部数+Y泉南市折込部数+AD18</f>
        <v>0</v>
      </c>
    </row>
    <row r="20" spans="1:31" ht="16.2" customHeight="1">
      <c r="A20" s="51">
        <v>2</v>
      </c>
      <c r="B20" s="488" t="s">
        <v>1450</v>
      </c>
      <c r="C20" s="46" t="s">
        <v>538</v>
      </c>
      <c r="D20" s="12"/>
      <c r="E20" s="32"/>
      <c r="F20" s="223"/>
      <c r="G20" s="51">
        <v>2</v>
      </c>
      <c r="H20" s="488" t="s">
        <v>1450</v>
      </c>
      <c r="I20" s="464"/>
      <c r="J20" s="211"/>
      <c r="K20" s="232"/>
      <c r="L20" s="223"/>
      <c r="M20" s="51">
        <v>2</v>
      </c>
      <c r="N20" s="488" t="s">
        <v>1450</v>
      </c>
      <c r="O20" s="489"/>
      <c r="P20" s="464"/>
      <c r="Q20" s="232"/>
      <c r="R20" s="223"/>
      <c r="S20" s="51">
        <v>2</v>
      </c>
      <c r="T20" s="488" t="s">
        <v>1450</v>
      </c>
      <c r="U20" s="464"/>
      <c r="V20" s="464"/>
      <c r="W20" s="232"/>
      <c r="X20" s="223"/>
      <c r="Y20" s="51">
        <v>2</v>
      </c>
      <c r="Z20" s="488" t="s">
        <v>1450</v>
      </c>
      <c r="AA20" s="464"/>
      <c r="AB20" s="464"/>
      <c r="AC20" s="35"/>
      <c r="AD20" s="16"/>
      <c r="AE20" s="11"/>
    </row>
    <row r="21" spans="1:31" ht="16.2" customHeight="1">
      <c r="A21" s="51">
        <v>3</v>
      </c>
      <c r="B21" s="51">
        <v>72433</v>
      </c>
      <c r="C21" s="690" t="s">
        <v>539</v>
      </c>
      <c r="D21" s="148">
        <v>850</v>
      </c>
      <c r="E21" s="142"/>
      <c r="F21" s="404"/>
      <c r="G21" s="51">
        <v>3</v>
      </c>
      <c r="H21" s="51">
        <v>73431</v>
      </c>
      <c r="I21" s="691" t="s">
        <v>539</v>
      </c>
      <c r="J21" s="148">
        <v>1450</v>
      </c>
      <c r="K21" s="142"/>
      <c r="L21" s="404"/>
      <c r="M21" s="51">
        <v>3</v>
      </c>
      <c r="N21" s="51">
        <v>75493</v>
      </c>
      <c r="O21" s="441" t="s">
        <v>541</v>
      </c>
      <c r="P21" s="148">
        <v>1400</v>
      </c>
      <c r="Q21" s="142"/>
      <c r="R21" s="404"/>
      <c r="S21" s="51">
        <v>3</v>
      </c>
      <c r="T21" s="51">
        <v>74633</v>
      </c>
      <c r="U21" s="691" t="s">
        <v>542</v>
      </c>
      <c r="V21" s="148">
        <v>1500</v>
      </c>
      <c r="W21" s="142"/>
      <c r="X21" s="404"/>
      <c r="Y21" s="51">
        <v>3</v>
      </c>
      <c r="Z21" s="51"/>
      <c r="AA21" s="688"/>
      <c r="AB21" s="511"/>
      <c r="AC21" s="170"/>
      <c r="AD21" s="171"/>
      <c r="AE21" s="513"/>
    </row>
    <row r="22" spans="1:31" ht="16.2" customHeight="1">
      <c r="A22" s="51">
        <v>3</v>
      </c>
      <c r="B22" s="51"/>
      <c r="C22" s="512"/>
      <c r="D22" s="226"/>
      <c r="E22" s="165"/>
      <c r="F22" s="157"/>
      <c r="G22" s="51">
        <v>3</v>
      </c>
      <c r="H22" s="51"/>
      <c r="I22" s="386"/>
      <c r="J22" s="352"/>
      <c r="K22" s="165"/>
      <c r="L22" s="405"/>
      <c r="M22" s="51">
        <v>3</v>
      </c>
      <c r="N22" s="51">
        <v>75495</v>
      </c>
      <c r="O22" s="386" t="s">
        <v>540</v>
      </c>
      <c r="P22" s="352">
        <v>500</v>
      </c>
      <c r="Q22" s="165"/>
      <c r="R22" s="405"/>
      <c r="S22" s="51">
        <v>3</v>
      </c>
      <c r="T22" s="51">
        <v>74635</v>
      </c>
      <c r="U22" s="386" t="s">
        <v>1567</v>
      </c>
      <c r="V22" s="352">
        <v>2600</v>
      </c>
      <c r="W22" s="142"/>
      <c r="X22" s="405"/>
      <c r="Y22" s="51">
        <v>3</v>
      </c>
      <c r="Z22" s="51"/>
      <c r="AA22" s="667"/>
      <c r="AB22" s="543"/>
      <c r="AC22" s="172"/>
      <c r="AD22" s="173"/>
      <c r="AE22" s="516"/>
    </row>
    <row r="23" spans="1:31" ht="16.2" customHeight="1" thickBot="1">
      <c r="A23" s="51">
        <v>3</v>
      </c>
      <c r="B23" s="51"/>
      <c r="C23" s="692"/>
      <c r="D23" s="226"/>
      <c r="E23" s="165"/>
      <c r="F23" s="157"/>
      <c r="G23" s="51">
        <v>3</v>
      </c>
      <c r="H23" s="51"/>
      <c r="I23" s="692"/>
      <c r="J23" s="226"/>
      <c r="K23" s="165"/>
      <c r="L23" s="157"/>
      <c r="M23" s="51">
        <v>3</v>
      </c>
      <c r="N23" s="51"/>
      <c r="O23" s="692"/>
      <c r="P23" s="226"/>
      <c r="Q23" s="165"/>
      <c r="R23" s="260"/>
      <c r="S23" s="51">
        <v>3</v>
      </c>
      <c r="T23" s="51"/>
      <c r="U23" s="691"/>
      <c r="V23" s="352"/>
      <c r="W23" s="142"/>
      <c r="X23" s="405"/>
      <c r="Y23" s="51">
        <v>3</v>
      </c>
      <c r="Z23" s="51"/>
      <c r="AA23" s="667"/>
      <c r="AB23" s="543"/>
      <c r="AC23" s="172"/>
      <c r="AD23" s="173"/>
      <c r="AE23" s="516"/>
    </row>
    <row r="24" spans="1:31" ht="16.2" customHeight="1" thickTop="1">
      <c r="A24" s="51">
        <v>4</v>
      </c>
      <c r="B24" s="51"/>
      <c r="C24" s="523" t="s">
        <v>692</v>
      </c>
      <c r="D24" s="27">
        <f>SUM(D21:D23)</f>
        <v>850</v>
      </c>
      <c r="E24" s="34"/>
      <c r="F24" s="75">
        <f>SUM(F21:F23)</f>
        <v>0</v>
      </c>
      <c r="G24" s="51">
        <v>4</v>
      </c>
      <c r="H24" s="51"/>
      <c r="I24" s="523" t="s">
        <v>692</v>
      </c>
      <c r="J24" s="27">
        <f>SUM(J21:J23)</f>
        <v>1450</v>
      </c>
      <c r="K24" s="37"/>
      <c r="L24" s="75">
        <f>SUM(L21:L23)</f>
        <v>0</v>
      </c>
      <c r="M24" s="51">
        <v>4</v>
      </c>
      <c r="N24" s="51"/>
      <c r="O24" s="523" t="s">
        <v>692</v>
      </c>
      <c r="P24" s="27">
        <f>SUM(P21:P23)</f>
        <v>1900</v>
      </c>
      <c r="Q24" s="37"/>
      <c r="R24" s="75">
        <f>SUM(R21:R23)</f>
        <v>0</v>
      </c>
      <c r="S24" s="51">
        <v>4</v>
      </c>
      <c r="T24" s="51"/>
      <c r="U24" s="523" t="s">
        <v>692</v>
      </c>
      <c r="V24" s="27">
        <f>SUM(V21:V23)</f>
        <v>4100</v>
      </c>
      <c r="W24" s="28"/>
      <c r="X24" s="75">
        <f>SUM(X21:X23)</f>
        <v>0</v>
      </c>
      <c r="Y24" s="51">
        <v>4</v>
      </c>
      <c r="Z24" s="51"/>
      <c r="AA24" s="523" t="s">
        <v>692</v>
      </c>
      <c r="AB24" s="283">
        <f>SUM(AB21:AB23)</f>
        <v>0</v>
      </c>
      <c r="AC24" s="282"/>
      <c r="AD24" s="75">
        <f>SUM(AD21:AD23)</f>
        <v>0</v>
      </c>
      <c r="AE24" s="524">
        <f>D24+J24+P24+V24+AB24</f>
        <v>8300</v>
      </c>
    </row>
    <row r="25" spans="1:31" ht="16.2" customHeight="1">
      <c r="A25" s="51"/>
      <c r="B25" s="51"/>
      <c r="D25" s="1"/>
      <c r="G25" s="51"/>
      <c r="H25" s="51"/>
      <c r="J25" s="1"/>
      <c r="L25" s="233"/>
      <c r="M25" s="51"/>
      <c r="N25" s="51"/>
      <c r="O25" s="489"/>
      <c r="P25" s="489"/>
      <c r="Q25" s="224"/>
      <c r="R25" s="233"/>
      <c r="S25" s="51"/>
      <c r="T25" s="51"/>
      <c r="U25" s="489"/>
      <c r="V25" s="489"/>
      <c r="W25" s="224"/>
      <c r="X25" s="224"/>
      <c r="Y25" s="51"/>
      <c r="Z25" s="51"/>
      <c r="AA25" s="489"/>
      <c r="AB25" s="489"/>
      <c r="AC25" s="224"/>
      <c r="AD25" s="527" t="s">
        <v>692</v>
      </c>
      <c r="AE25" s="93">
        <f>A阪南市折込部数+M阪南市折込部数+S阪南市折込部数+Y阪南市折込部数+AD24</f>
        <v>0</v>
      </c>
    </row>
    <row r="26" spans="1:31" ht="16.2" customHeight="1">
      <c r="A26" s="51">
        <v>2</v>
      </c>
      <c r="B26" s="488" t="s">
        <v>1451</v>
      </c>
      <c r="C26" s="46" t="s">
        <v>543</v>
      </c>
      <c r="D26"/>
      <c r="G26" s="51">
        <v>2</v>
      </c>
      <c r="H26" s="488" t="s">
        <v>1451</v>
      </c>
      <c r="J26"/>
      <c r="K26" s="15"/>
      <c r="M26" s="51">
        <v>2</v>
      </c>
      <c r="N26" s="488" t="s">
        <v>1451</v>
      </c>
      <c r="Q26" s="15"/>
      <c r="R26"/>
      <c r="S26" s="51">
        <v>2</v>
      </c>
      <c r="T26" s="488" t="s">
        <v>1451</v>
      </c>
      <c r="W26" s="15"/>
      <c r="X26"/>
      <c r="Y26" s="51">
        <v>2</v>
      </c>
      <c r="Z26" s="488" t="s">
        <v>1451</v>
      </c>
      <c r="AB26" s="15"/>
      <c r="AC26"/>
      <c r="AD26"/>
    </row>
    <row r="27" spans="1:31" ht="16.2" customHeight="1">
      <c r="A27" s="51">
        <v>3</v>
      </c>
      <c r="B27" s="51">
        <v>72435</v>
      </c>
      <c r="C27" s="441" t="s">
        <v>748</v>
      </c>
      <c r="D27" s="148">
        <v>2150</v>
      </c>
      <c r="E27" s="155"/>
      <c r="F27" s="404"/>
      <c r="G27" s="51">
        <v>3</v>
      </c>
      <c r="H27" s="51">
        <v>73433</v>
      </c>
      <c r="I27" s="441" t="s">
        <v>544</v>
      </c>
      <c r="J27" s="148">
        <v>150</v>
      </c>
      <c r="K27" s="155"/>
      <c r="L27" s="404"/>
      <c r="M27" s="51">
        <v>3</v>
      </c>
      <c r="N27" s="51">
        <v>75497</v>
      </c>
      <c r="O27" s="441" t="s">
        <v>548</v>
      </c>
      <c r="P27" s="148">
        <v>300</v>
      </c>
      <c r="Q27" s="130"/>
      <c r="R27" s="404"/>
      <c r="S27" s="51">
        <v>3</v>
      </c>
      <c r="T27" s="51">
        <v>74637</v>
      </c>
      <c r="U27" s="441" t="s">
        <v>548</v>
      </c>
      <c r="V27" s="148">
        <v>750</v>
      </c>
      <c r="W27" s="155"/>
      <c r="X27" s="404"/>
      <c r="Y27" s="51">
        <v>3</v>
      </c>
      <c r="Z27" s="51">
        <v>79005</v>
      </c>
      <c r="AA27" s="441" t="s">
        <v>546</v>
      </c>
      <c r="AB27" s="148">
        <v>150</v>
      </c>
      <c r="AC27" s="130"/>
      <c r="AD27" s="404"/>
      <c r="AE27" s="513"/>
    </row>
    <row r="28" spans="1:31" ht="16.2" customHeight="1">
      <c r="A28" s="51">
        <v>3</v>
      </c>
      <c r="B28" s="51"/>
      <c r="C28" s="387"/>
      <c r="D28" s="143"/>
      <c r="E28" s="142"/>
      <c r="F28" s="405"/>
      <c r="G28" s="51">
        <v>3</v>
      </c>
      <c r="H28" s="51">
        <v>73435</v>
      </c>
      <c r="I28" s="386" t="s">
        <v>545</v>
      </c>
      <c r="J28" s="143">
        <v>100</v>
      </c>
      <c r="K28" s="142"/>
      <c r="L28" s="405"/>
      <c r="M28" s="51">
        <v>3</v>
      </c>
      <c r="N28" s="51">
        <v>75499</v>
      </c>
      <c r="O28" s="386" t="s">
        <v>549</v>
      </c>
      <c r="P28" s="143">
        <v>50</v>
      </c>
      <c r="Q28" s="168"/>
      <c r="R28" s="405"/>
      <c r="S28" s="51">
        <v>3</v>
      </c>
      <c r="T28" s="51">
        <v>74639</v>
      </c>
      <c r="U28" s="386" t="s">
        <v>300</v>
      </c>
      <c r="V28" s="143">
        <v>500</v>
      </c>
      <c r="W28" s="168"/>
      <c r="X28" s="405"/>
      <c r="Y28" s="51">
        <v>3</v>
      </c>
      <c r="Z28" s="51"/>
      <c r="AA28" s="561"/>
      <c r="AB28" s="515"/>
      <c r="AC28" s="168"/>
      <c r="AD28" s="163"/>
      <c r="AE28" s="516"/>
    </row>
    <row r="29" spans="1:31" ht="16.2" customHeight="1">
      <c r="A29" s="51">
        <v>3</v>
      </c>
      <c r="B29" s="51"/>
      <c r="C29" s="693"/>
      <c r="D29" s="139"/>
      <c r="E29" s="142"/>
      <c r="F29" s="132"/>
      <c r="G29" s="51">
        <v>3</v>
      </c>
      <c r="H29" s="51">
        <v>73437</v>
      </c>
      <c r="I29" s="387" t="s">
        <v>522</v>
      </c>
      <c r="J29" s="143">
        <v>1850</v>
      </c>
      <c r="K29" s="142"/>
      <c r="L29" s="405"/>
      <c r="M29" s="51">
        <v>3</v>
      </c>
      <c r="N29" s="51">
        <v>75501</v>
      </c>
      <c r="O29" s="385" t="s">
        <v>522</v>
      </c>
      <c r="P29" s="143">
        <v>3450</v>
      </c>
      <c r="Q29" s="168"/>
      <c r="R29" s="405"/>
      <c r="S29" s="51">
        <v>3</v>
      </c>
      <c r="T29" s="51">
        <v>74641</v>
      </c>
      <c r="U29" s="387" t="s">
        <v>864</v>
      </c>
      <c r="V29" s="143">
        <v>2250</v>
      </c>
      <c r="W29" s="168"/>
      <c r="X29" s="405"/>
      <c r="Y29" s="51">
        <v>3</v>
      </c>
      <c r="Z29" s="51"/>
      <c r="AA29" s="561"/>
      <c r="AB29" s="515"/>
      <c r="AC29" s="168"/>
      <c r="AD29" s="163"/>
      <c r="AE29" s="516"/>
    </row>
    <row r="30" spans="1:31" ht="16.2" customHeight="1">
      <c r="A30" s="51">
        <v>3</v>
      </c>
      <c r="B30" s="51"/>
      <c r="C30" s="512"/>
      <c r="D30" s="139"/>
      <c r="E30" s="142"/>
      <c r="F30" s="132"/>
      <c r="G30" s="51">
        <v>3</v>
      </c>
      <c r="H30" s="51"/>
      <c r="I30" s="693"/>
      <c r="J30" s="139"/>
      <c r="K30" s="142"/>
      <c r="L30" s="132"/>
      <c r="M30" s="51">
        <v>3</v>
      </c>
      <c r="N30" s="51"/>
      <c r="O30" s="386"/>
      <c r="P30" s="515"/>
      <c r="Q30" s="168"/>
      <c r="R30" s="163"/>
      <c r="S30" s="51">
        <v>3</v>
      </c>
      <c r="T30" s="51"/>
      <c r="U30" s="387"/>
      <c r="V30" s="143"/>
      <c r="W30" s="168"/>
      <c r="X30" s="405"/>
      <c r="Y30" s="51">
        <v>3</v>
      </c>
      <c r="Z30" s="51"/>
      <c r="AA30" s="561"/>
      <c r="AB30" s="515"/>
      <c r="AC30" s="168"/>
      <c r="AD30" s="163"/>
      <c r="AE30" s="516"/>
    </row>
    <row r="31" spans="1:31" ht="16.2" customHeight="1">
      <c r="A31" s="51">
        <v>3</v>
      </c>
      <c r="B31" s="51"/>
      <c r="C31" s="512"/>
      <c r="D31" s="139"/>
      <c r="E31" s="142"/>
      <c r="F31" s="132"/>
      <c r="G31" s="51">
        <v>3</v>
      </c>
      <c r="H31" s="51"/>
      <c r="I31" s="693"/>
      <c r="J31" s="139"/>
      <c r="K31" s="142"/>
      <c r="L31" s="132"/>
      <c r="M31" s="51">
        <v>3</v>
      </c>
      <c r="N31" s="51"/>
      <c r="O31" s="598"/>
      <c r="P31" s="515"/>
      <c r="Q31" s="168"/>
      <c r="R31" s="163"/>
      <c r="S31" s="51">
        <v>3</v>
      </c>
      <c r="T31" s="51"/>
      <c r="U31" s="693"/>
      <c r="V31" s="139"/>
      <c r="W31" s="168"/>
      <c r="X31" s="132"/>
      <c r="Y31" s="51">
        <v>3</v>
      </c>
      <c r="Z31" s="51"/>
      <c r="AA31" s="561"/>
      <c r="AB31" s="515"/>
      <c r="AC31" s="168"/>
      <c r="AD31" s="163"/>
      <c r="AE31" s="516"/>
    </row>
    <row r="32" spans="1:31" ht="16.2" customHeight="1" thickBot="1">
      <c r="A32" s="51">
        <v>3</v>
      </c>
      <c r="B32" s="51"/>
      <c r="C32" s="694"/>
      <c r="D32" s="678"/>
      <c r="E32" s="277"/>
      <c r="F32" s="161"/>
      <c r="G32" s="51">
        <v>3</v>
      </c>
      <c r="H32" s="51"/>
      <c r="I32" s="693"/>
      <c r="J32" s="139"/>
      <c r="K32" s="277"/>
      <c r="L32" s="161"/>
      <c r="M32" s="51">
        <v>3</v>
      </c>
      <c r="N32" s="51"/>
      <c r="O32" s="532"/>
      <c r="P32" s="515"/>
      <c r="Q32" s="279"/>
      <c r="R32" s="278"/>
      <c r="S32" s="51">
        <v>3</v>
      </c>
      <c r="T32" s="51"/>
      <c r="U32" s="694"/>
      <c r="V32" s="678"/>
      <c r="W32" s="279"/>
      <c r="X32" s="161"/>
      <c r="Y32" s="51">
        <v>3</v>
      </c>
      <c r="Z32" s="51"/>
      <c r="AA32" s="695"/>
      <c r="AB32" s="549"/>
      <c r="AC32" s="279"/>
      <c r="AD32" s="278"/>
      <c r="AE32" s="516"/>
    </row>
    <row r="33" spans="1:31" ht="16.2" customHeight="1" thickTop="1">
      <c r="A33" s="51">
        <v>4</v>
      </c>
      <c r="B33" s="51"/>
      <c r="C33" s="523" t="s">
        <v>692</v>
      </c>
      <c r="D33" s="27">
        <f>SUM(D27:D32)</f>
        <v>2150</v>
      </c>
      <c r="E33" s="34"/>
      <c r="F33" s="75">
        <f>SUM(F27:F32)</f>
        <v>0</v>
      </c>
      <c r="G33" s="51">
        <v>4</v>
      </c>
      <c r="H33" s="51"/>
      <c r="I33" s="523" t="s">
        <v>692</v>
      </c>
      <c r="J33" s="27">
        <f>SUM(J27:J32)</f>
        <v>2100</v>
      </c>
      <c r="K33" s="37"/>
      <c r="L33" s="75">
        <f>SUM(L27:L32)</f>
        <v>0</v>
      </c>
      <c r="M33" s="51">
        <v>4</v>
      </c>
      <c r="N33" s="51"/>
      <c r="O33" s="523" t="s">
        <v>692</v>
      </c>
      <c r="P33" s="27">
        <f>SUM(P27:P32)</f>
        <v>3800</v>
      </c>
      <c r="Q33" s="37"/>
      <c r="R33" s="75">
        <f>SUM(R27:R32)</f>
        <v>0</v>
      </c>
      <c r="S33" s="51">
        <v>4</v>
      </c>
      <c r="T33" s="51"/>
      <c r="U33" s="523" t="s">
        <v>692</v>
      </c>
      <c r="V33" s="27">
        <f>SUM(V27:V32)</f>
        <v>3500</v>
      </c>
      <c r="W33" s="37"/>
      <c r="X33" s="75">
        <f>SUM(X27:X32)</f>
        <v>0</v>
      </c>
      <c r="Y33" s="51">
        <v>4</v>
      </c>
      <c r="Z33" s="51"/>
      <c r="AA33" s="523" t="s">
        <v>692</v>
      </c>
      <c r="AB33" s="522">
        <f>SUM(AB27:AB32)</f>
        <v>150</v>
      </c>
      <c r="AC33" s="37"/>
      <c r="AD33" s="689">
        <f>SUM(AD27:AD32)</f>
        <v>0</v>
      </c>
      <c r="AE33" s="524">
        <f>D33+J33+P33+V33+AB33</f>
        <v>11700</v>
      </c>
    </row>
    <row r="34" spans="1:31" ht="16.2" customHeight="1">
      <c r="A34" s="51">
        <v>9</v>
      </c>
      <c r="B34" s="51"/>
      <c r="C34" s="526"/>
      <c r="D34" s="210"/>
      <c r="E34" s="228"/>
      <c r="F34" s="229"/>
      <c r="G34" s="51">
        <v>9</v>
      </c>
      <c r="H34" s="51"/>
      <c r="I34" s="526"/>
      <c r="J34" s="210"/>
      <c r="K34" s="230"/>
      <c r="L34" s="231"/>
      <c r="M34" s="51">
        <v>9</v>
      </c>
      <c r="N34" s="51"/>
      <c r="O34" s="526"/>
      <c r="P34" s="526"/>
      <c r="Q34" s="230"/>
      <c r="R34" s="229"/>
      <c r="S34" s="51">
        <v>9</v>
      </c>
      <c r="T34" s="51"/>
      <c r="U34" s="526"/>
      <c r="V34" s="526"/>
      <c r="W34" s="230"/>
      <c r="X34" s="229"/>
      <c r="Y34" s="51">
        <v>9</v>
      </c>
      <c r="Z34" s="51"/>
      <c r="AA34" s="526"/>
      <c r="AB34" s="526"/>
      <c r="AC34" s="36"/>
      <c r="AD34" s="527" t="s">
        <v>692</v>
      </c>
      <c r="AE34" s="93">
        <f>A泉南郡折込部数+M泉南郡折込部数+S泉南郡折込部数+Y泉南郡折込部数+AD33</f>
        <v>0</v>
      </c>
    </row>
    <row r="35" spans="1:31" ht="16.2" customHeight="1">
      <c r="C35" s="46"/>
      <c r="D35" s="21"/>
      <c r="E35" s="271"/>
      <c r="F35" s="224"/>
      <c r="G35" s="224"/>
      <c r="H35" s="224"/>
      <c r="I35" s="489"/>
      <c r="J35" s="213"/>
      <c r="K35" s="272"/>
      <c r="L35" s="224"/>
      <c r="M35" s="224"/>
      <c r="N35" s="224"/>
      <c r="O35" s="489"/>
      <c r="P35" s="489"/>
      <c r="Q35" s="272"/>
      <c r="R35" s="224"/>
      <c r="S35" s="224"/>
      <c r="T35" s="224"/>
      <c r="U35" s="489"/>
      <c r="V35" s="489"/>
      <c r="W35" s="272"/>
      <c r="X35" s="224"/>
      <c r="Y35" s="224"/>
      <c r="Z35" s="224"/>
      <c r="AA35" s="489"/>
      <c r="AB35" s="489"/>
      <c r="AC35" s="273"/>
    </row>
    <row r="36" spans="1:31" ht="16.2" customHeight="1">
      <c r="C36" s="18"/>
      <c r="D36" s="21"/>
      <c r="E36" s="252"/>
      <c r="F36" s="246"/>
      <c r="G36" s="246"/>
      <c r="H36" s="246"/>
      <c r="I36" s="696"/>
      <c r="J36" s="21"/>
      <c r="K36" s="252"/>
      <c r="L36" s="246"/>
      <c r="M36" s="246"/>
      <c r="N36" s="246"/>
      <c r="O36" s="18"/>
      <c r="P36" s="489"/>
      <c r="Q36" s="252"/>
      <c r="R36" s="274"/>
      <c r="S36" s="274"/>
      <c r="T36" s="274"/>
      <c r="U36" s="18"/>
      <c r="V36" s="21"/>
      <c r="W36" s="252"/>
      <c r="X36" s="246"/>
      <c r="Y36" s="246"/>
      <c r="Z36" s="246"/>
      <c r="AA36" s="18"/>
      <c r="AB36" s="489"/>
      <c r="AC36" s="272"/>
      <c r="AD36" s="274"/>
      <c r="AE36" s="489"/>
    </row>
    <row r="37" spans="1:31" ht="16.2" customHeight="1">
      <c r="C37" s="18"/>
      <c r="D37" s="21"/>
      <c r="E37" s="252"/>
      <c r="F37" s="246"/>
      <c r="G37" s="246"/>
      <c r="H37" s="246"/>
      <c r="I37" s="18"/>
      <c r="J37" s="21"/>
      <c r="K37" s="252"/>
      <c r="L37" s="246"/>
      <c r="M37" s="246"/>
      <c r="N37" s="246"/>
      <c r="O37" s="18"/>
      <c r="P37" s="21"/>
      <c r="Q37" s="252"/>
      <c r="R37" s="274"/>
      <c r="S37" s="274"/>
      <c r="T37" s="274"/>
      <c r="U37" s="18"/>
      <c r="V37" s="21"/>
      <c r="W37" s="252"/>
      <c r="X37" s="246"/>
      <c r="Y37" s="246"/>
      <c r="Z37" s="246"/>
      <c r="AA37" s="18"/>
      <c r="AB37" s="489"/>
      <c r="AC37" s="272"/>
      <c r="AD37" s="274"/>
      <c r="AE37" s="489"/>
    </row>
    <row r="38" spans="1:31" ht="16.2" customHeight="1">
      <c r="C38" s="18"/>
      <c r="D38" s="21"/>
      <c r="E38" s="252"/>
      <c r="F38" s="246"/>
      <c r="G38" s="246"/>
      <c r="H38" s="246"/>
      <c r="I38" s="18"/>
      <c r="J38" s="21"/>
      <c r="K38" s="252"/>
      <c r="L38" s="246"/>
      <c r="M38" s="246"/>
      <c r="N38" s="246"/>
      <c r="O38" s="18"/>
      <c r="P38" s="21"/>
      <c r="Q38" s="252"/>
      <c r="R38" s="274"/>
      <c r="S38" s="274"/>
      <c r="T38" s="274"/>
      <c r="U38" s="18"/>
      <c r="V38" s="21"/>
      <c r="W38" s="252"/>
      <c r="X38" s="246"/>
      <c r="Y38" s="246"/>
      <c r="Z38" s="246"/>
      <c r="AA38" s="18"/>
      <c r="AB38" s="489"/>
      <c r="AC38" s="272"/>
      <c r="AD38" s="274"/>
      <c r="AE38" s="489"/>
    </row>
    <row r="39" spans="1:31" ht="16.2" customHeight="1">
      <c r="C39" s="18"/>
      <c r="D39" s="21"/>
      <c r="E39" s="252"/>
      <c r="F39" s="246"/>
      <c r="G39" s="246"/>
      <c r="H39" s="246"/>
      <c r="I39" s="18"/>
      <c r="J39" s="21"/>
      <c r="K39" s="252"/>
      <c r="L39" s="246"/>
      <c r="M39" s="246"/>
      <c r="N39" s="246"/>
      <c r="O39" s="18"/>
      <c r="P39" s="21"/>
      <c r="Q39" s="252"/>
      <c r="R39" s="274"/>
      <c r="S39" s="274"/>
      <c r="T39" s="274"/>
      <c r="U39" s="18"/>
      <c r="V39" s="21"/>
      <c r="W39" s="252"/>
      <c r="X39" s="246"/>
      <c r="Y39" s="246"/>
      <c r="Z39" s="246"/>
      <c r="AA39" s="18"/>
      <c r="AB39" s="489"/>
      <c r="AC39" s="272"/>
      <c r="AD39" s="274"/>
      <c r="AE39" s="489"/>
    </row>
    <row r="40" spans="1:31" ht="16.2" customHeight="1">
      <c r="C40" s="18"/>
      <c r="D40" s="21"/>
      <c r="E40" s="271"/>
      <c r="F40" s="189"/>
      <c r="G40" s="189"/>
      <c r="H40" s="189"/>
      <c r="I40" s="18"/>
      <c r="J40" s="21"/>
      <c r="K40" s="273"/>
      <c r="L40" s="189"/>
      <c r="M40" s="189"/>
      <c r="N40" s="189"/>
      <c r="O40" s="18"/>
      <c r="P40" s="21"/>
      <c r="Q40" s="273"/>
      <c r="R40" s="189"/>
      <c r="S40" s="189"/>
      <c r="T40" s="189"/>
      <c r="U40" s="18"/>
      <c r="V40" s="21"/>
      <c r="W40" s="15"/>
      <c r="X40" s="189"/>
      <c r="Y40" s="189"/>
      <c r="Z40" s="189"/>
      <c r="AA40" s="18"/>
      <c r="AB40" s="273"/>
      <c r="AC40" s="273"/>
      <c r="AD40" s="189"/>
      <c r="AE40" s="20"/>
    </row>
    <row r="41" spans="1:31" ht="16.2" customHeight="1">
      <c r="D41" s="21"/>
      <c r="J41" s="21"/>
      <c r="L41" s="272"/>
      <c r="M41" s="272"/>
      <c r="N41" s="272"/>
      <c r="O41" s="489"/>
      <c r="P41" s="489"/>
      <c r="Q41" s="224"/>
      <c r="R41" s="272"/>
      <c r="S41" s="272"/>
      <c r="T41" s="272"/>
      <c r="U41" s="489"/>
      <c r="V41" s="489"/>
      <c r="W41" s="224"/>
      <c r="X41" s="224"/>
      <c r="Y41" s="224"/>
      <c r="Z41" s="224"/>
      <c r="AA41" s="489"/>
      <c r="AB41" s="489"/>
      <c r="AC41" s="224"/>
      <c r="AD41" s="18"/>
      <c r="AE41" s="189"/>
    </row>
    <row r="42" spans="1:31" ht="16.2" customHeight="1">
      <c r="C42" s="489"/>
      <c r="D42" s="298"/>
      <c r="E42" s="217"/>
      <c r="F42" s="224"/>
      <c r="G42" s="224"/>
      <c r="H42" s="224"/>
      <c r="I42" s="489"/>
      <c r="J42" s="298"/>
      <c r="K42" s="224"/>
      <c r="L42" s="224"/>
      <c r="M42" s="224"/>
      <c r="N42" s="224"/>
      <c r="O42" s="489"/>
      <c r="P42" s="489"/>
      <c r="Q42" s="224"/>
      <c r="R42" s="224"/>
      <c r="S42" s="224"/>
      <c r="T42" s="224"/>
      <c r="U42" s="489"/>
      <c r="V42" s="489"/>
      <c r="W42" s="224"/>
      <c r="X42" s="224"/>
      <c r="Y42" s="224"/>
      <c r="Z42" s="224"/>
      <c r="AA42" s="489"/>
      <c r="AB42" s="489"/>
      <c r="AC42" s="224"/>
      <c r="AD42" s="224"/>
      <c r="AE42" s="489"/>
    </row>
    <row r="43" spans="1:31" ht="16.2" customHeight="1">
      <c r="C43" s="489"/>
      <c r="D43" s="298"/>
      <c r="E43" s="217"/>
      <c r="F43" s="224"/>
      <c r="G43" s="224"/>
      <c r="H43" s="224"/>
      <c r="I43" s="489"/>
      <c r="J43" s="298"/>
      <c r="K43" s="224"/>
      <c r="L43" s="224"/>
      <c r="M43" s="224"/>
      <c r="N43" s="224"/>
      <c r="O43" s="489"/>
      <c r="P43" s="489"/>
      <c r="Q43" s="224"/>
      <c r="R43" s="224"/>
      <c r="S43" s="224"/>
      <c r="T43" s="224"/>
      <c r="U43" s="489"/>
      <c r="V43" s="489"/>
      <c r="W43" s="224"/>
      <c r="X43" s="224"/>
      <c r="Y43" s="224"/>
      <c r="Z43" s="224"/>
      <c r="AA43" s="489"/>
      <c r="AB43" s="489"/>
      <c r="AC43" s="224"/>
      <c r="AD43" s="224"/>
      <c r="AE43" s="489"/>
    </row>
    <row r="44" spans="1:31" ht="16.2" customHeight="1">
      <c r="C44" s="489"/>
      <c r="D44" s="298"/>
      <c r="E44" s="217"/>
      <c r="F44" s="224"/>
      <c r="G44" s="224"/>
      <c r="H44" s="224"/>
      <c r="I44" s="489"/>
      <c r="J44" s="298"/>
      <c r="K44" s="224"/>
      <c r="L44" s="224"/>
      <c r="M44" s="224"/>
      <c r="N44" s="224"/>
      <c r="O44" s="489"/>
      <c r="P44" s="489"/>
      <c r="Q44" s="224"/>
      <c r="R44" s="224"/>
      <c r="S44" s="224"/>
      <c r="T44" s="224"/>
      <c r="U44" s="489"/>
      <c r="V44" s="489"/>
      <c r="W44" s="224"/>
      <c r="X44" s="224"/>
      <c r="Y44" s="224"/>
      <c r="Z44" s="224"/>
      <c r="AA44" s="489"/>
      <c r="AB44" s="489"/>
      <c r="AC44" s="224"/>
      <c r="AD44" s="224"/>
      <c r="AE44" s="489"/>
    </row>
    <row r="45" spans="1:31" ht="16.2" customHeight="1">
      <c r="C45" s="489"/>
      <c r="D45" s="298"/>
      <c r="E45" s="217"/>
      <c r="F45" s="224"/>
      <c r="G45" s="224"/>
      <c r="H45" s="224"/>
      <c r="I45" s="489"/>
      <c r="J45" s="298"/>
      <c r="K45" s="224"/>
      <c r="L45" s="224"/>
      <c r="M45" s="224"/>
      <c r="N45" s="224"/>
      <c r="O45" s="489"/>
      <c r="P45" s="489"/>
      <c r="Q45" s="224"/>
      <c r="R45" s="224"/>
      <c r="S45" s="224"/>
      <c r="T45" s="224"/>
      <c r="U45" s="489"/>
      <c r="V45" s="489"/>
      <c r="W45" s="224"/>
      <c r="X45" s="224"/>
      <c r="Y45" s="224"/>
      <c r="Z45" s="224"/>
      <c r="AA45" s="489"/>
      <c r="AB45" s="489"/>
      <c r="AC45" s="224"/>
      <c r="AD45" s="224"/>
      <c r="AE45" s="489"/>
    </row>
    <row r="46" spans="1:31" ht="16.2" customHeight="1">
      <c r="C46" s="489"/>
      <c r="D46" s="298"/>
      <c r="E46" s="217"/>
      <c r="F46" s="224"/>
      <c r="G46" s="224"/>
      <c r="H46" s="224"/>
      <c r="I46" s="489"/>
      <c r="J46" s="298"/>
      <c r="K46" s="224"/>
      <c r="L46" s="224"/>
      <c r="M46" s="224"/>
      <c r="N46" s="224"/>
      <c r="O46" s="489"/>
      <c r="P46" s="489"/>
      <c r="Q46" s="224"/>
      <c r="R46" s="224"/>
      <c r="S46" s="224"/>
      <c r="T46" s="224"/>
      <c r="U46" s="489"/>
      <c r="V46" s="489"/>
      <c r="W46" s="224"/>
      <c r="X46" s="224"/>
      <c r="Y46" s="224"/>
      <c r="Z46" s="224"/>
      <c r="AA46" s="489"/>
      <c r="AB46" s="489"/>
      <c r="AC46" s="224"/>
      <c r="AD46" s="224"/>
      <c r="AE46" s="489"/>
    </row>
    <row r="47" spans="1:31" ht="16.2" customHeight="1">
      <c r="C47" s="489"/>
      <c r="D47" s="298"/>
      <c r="E47" s="217"/>
      <c r="F47" s="224"/>
      <c r="G47" s="224"/>
      <c r="H47" s="224"/>
      <c r="I47" s="489"/>
      <c r="J47" s="298"/>
      <c r="K47" s="224"/>
      <c r="L47" s="224"/>
      <c r="M47" s="224"/>
      <c r="N47" s="224"/>
      <c r="O47" s="489"/>
      <c r="P47" s="489"/>
      <c r="Q47" s="224"/>
      <c r="R47" s="224"/>
      <c r="S47" s="224"/>
      <c r="T47" s="224"/>
      <c r="U47" s="489"/>
      <c r="V47" s="489"/>
      <c r="W47" s="224"/>
      <c r="X47" s="224"/>
      <c r="Y47" s="224"/>
      <c r="Z47" s="224"/>
      <c r="AA47" s="489"/>
      <c r="AB47" s="489"/>
      <c r="AC47" s="224"/>
      <c r="AD47" s="224"/>
      <c r="AE47" s="489"/>
    </row>
    <row r="48" spans="1:31" ht="16.2" customHeight="1">
      <c r="C48" s="489"/>
      <c r="D48" s="298"/>
      <c r="E48" s="217"/>
      <c r="F48" s="224"/>
      <c r="G48" s="224"/>
      <c r="H48" s="224"/>
      <c r="I48" s="489"/>
      <c r="J48" s="298"/>
      <c r="K48" s="224"/>
      <c r="L48" s="224"/>
      <c r="M48" s="224"/>
      <c r="N48" s="224"/>
      <c r="O48" s="489"/>
      <c r="P48" s="489"/>
      <c r="Q48" s="224"/>
      <c r="R48" s="224"/>
      <c r="S48" s="224"/>
      <c r="T48" s="224"/>
      <c r="U48" s="489"/>
      <c r="V48" s="489"/>
      <c r="W48" s="224"/>
      <c r="X48" s="224"/>
      <c r="Y48" s="224"/>
      <c r="Z48" s="224"/>
      <c r="AA48" s="489"/>
      <c r="AB48" s="489"/>
      <c r="AC48" s="224"/>
      <c r="AD48" s="224"/>
      <c r="AE48" s="489"/>
    </row>
    <row r="49" spans="3:31" ht="16.2" customHeight="1">
      <c r="C49" s="489"/>
      <c r="D49" s="298"/>
      <c r="E49" s="217"/>
      <c r="F49" s="224"/>
      <c r="G49" s="224"/>
      <c r="H49" s="224"/>
      <c r="I49" s="489"/>
      <c r="J49" s="298"/>
      <c r="K49" s="224"/>
      <c r="L49" s="224"/>
      <c r="M49" s="224"/>
      <c r="N49" s="224"/>
      <c r="O49" s="489"/>
      <c r="P49" s="489"/>
      <c r="Q49" s="224"/>
      <c r="R49" s="224"/>
      <c r="S49" s="224"/>
      <c r="T49" s="224"/>
      <c r="U49" s="489"/>
      <c r="V49" s="489"/>
      <c r="W49" s="224"/>
      <c r="X49" s="224"/>
      <c r="Y49" s="224"/>
      <c r="Z49" s="224"/>
      <c r="AA49" s="489"/>
      <c r="AB49" s="489"/>
      <c r="AC49" s="224"/>
      <c r="AD49" s="224"/>
      <c r="AE49" s="489"/>
    </row>
    <row r="50" spans="3:31" ht="16.2" customHeight="1">
      <c r="C50" s="489"/>
      <c r="D50" s="298"/>
      <c r="E50" s="217"/>
      <c r="F50" s="224"/>
      <c r="G50" s="224"/>
      <c r="H50" s="224"/>
      <c r="I50" s="489"/>
      <c r="J50" s="298"/>
      <c r="K50" s="224"/>
      <c r="L50" s="224"/>
      <c r="M50" s="224"/>
      <c r="N50" s="224"/>
      <c r="O50" s="489"/>
      <c r="P50" s="489"/>
      <c r="Q50" s="224"/>
      <c r="R50" s="224"/>
      <c r="S50" s="224"/>
      <c r="T50" s="224"/>
      <c r="U50" s="489"/>
      <c r="V50" s="489"/>
      <c r="W50" s="224"/>
      <c r="X50" s="224"/>
      <c r="Y50" s="224"/>
      <c r="Z50" s="224"/>
      <c r="AA50" s="489"/>
      <c r="AB50" s="489"/>
      <c r="AC50" s="224"/>
      <c r="AD50" s="224"/>
      <c r="AE50" s="489"/>
    </row>
    <row r="51" spans="3:31" ht="16.2" customHeight="1">
      <c r="C51" s="489"/>
      <c r="D51" s="298"/>
      <c r="E51" s="217"/>
      <c r="F51" s="224"/>
      <c r="G51" s="224"/>
      <c r="H51" s="224"/>
      <c r="I51" s="489"/>
      <c r="J51" s="298"/>
      <c r="K51" s="224"/>
      <c r="L51" s="224"/>
      <c r="M51" s="224"/>
      <c r="N51" s="224"/>
      <c r="O51" s="489"/>
      <c r="P51" s="489"/>
      <c r="Q51" s="224"/>
      <c r="R51" s="224"/>
      <c r="S51" s="224"/>
      <c r="T51" s="224"/>
      <c r="U51" s="489"/>
      <c r="V51" s="489"/>
      <c r="W51" s="224"/>
      <c r="X51" s="224"/>
      <c r="Y51" s="224"/>
      <c r="Z51" s="224"/>
      <c r="AA51" s="489"/>
      <c r="AB51" s="489"/>
      <c r="AC51" s="224"/>
      <c r="AD51" s="224"/>
      <c r="AE51" s="489"/>
    </row>
    <row r="52" spans="3:31" ht="16.2" customHeight="1">
      <c r="C52" s="489"/>
      <c r="D52" s="298"/>
      <c r="E52" s="217"/>
      <c r="F52" s="224"/>
      <c r="G52" s="224"/>
      <c r="H52" s="224"/>
      <c r="I52" s="489"/>
      <c r="J52" s="298"/>
      <c r="K52" s="224"/>
      <c r="L52" s="224"/>
      <c r="M52" s="224"/>
      <c r="N52" s="224"/>
      <c r="O52" s="489"/>
      <c r="P52" s="489"/>
      <c r="Q52" s="224"/>
      <c r="R52" s="224"/>
      <c r="S52" s="224"/>
      <c r="T52" s="224"/>
      <c r="U52" s="489"/>
      <c r="V52" s="489"/>
      <c r="W52" s="224"/>
      <c r="X52" s="224"/>
      <c r="Y52" s="224"/>
      <c r="Z52" s="224"/>
      <c r="AA52" s="489"/>
      <c r="AB52" s="489"/>
      <c r="AC52" s="224"/>
      <c r="AD52" s="224"/>
      <c r="AE52" s="489"/>
    </row>
    <row r="53" spans="3:31" ht="16.2" customHeight="1">
      <c r="C53" s="489"/>
      <c r="D53" s="298"/>
      <c r="E53" s="217"/>
      <c r="F53" s="224"/>
      <c r="G53" s="224"/>
      <c r="H53" s="224"/>
      <c r="I53" s="489"/>
      <c r="J53" s="298"/>
      <c r="K53" s="224"/>
      <c r="L53" s="224"/>
      <c r="M53" s="224"/>
      <c r="N53" s="224"/>
      <c r="O53" s="489"/>
      <c r="P53" s="489"/>
      <c r="Q53" s="224"/>
      <c r="R53" s="224"/>
      <c r="S53" s="224"/>
      <c r="T53" s="224"/>
      <c r="U53" s="489"/>
      <c r="V53" s="489"/>
      <c r="W53" s="224"/>
      <c r="X53" s="224"/>
      <c r="Y53" s="224"/>
      <c r="Z53" s="224"/>
      <c r="AA53" s="489"/>
      <c r="AB53" s="489"/>
      <c r="AC53" s="224"/>
      <c r="AD53" s="224"/>
      <c r="AE53" s="489"/>
    </row>
    <row r="54" spans="3:31" ht="16.2" customHeight="1">
      <c r="C54" s="489"/>
      <c r="D54" s="298"/>
      <c r="E54" s="217"/>
      <c r="F54" s="224"/>
      <c r="G54" s="224"/>
      <c r="H54" s="224"/>
      <c r="I54" s="489"/>
      <c r="J54" s="298"/>
      <c r="K54" s="224"/>
      <c r="L54" s="224"/>
      <c r="M54" s="224"/>
      <c r="N54" s="224"/>
      <c r="O54" s="489"/>
      <c r="P54" s="489"/>
      <c r="Q54" s="224"/>
      <c r="R54" s="224"/>
      <c r="S54" s="224"/>
      <c r="T54" s="224"/>
      <c r="U54" s="489"/>
      <c r="V54" s="489"/>
      <c r="W54" s="224"/>
      <c r="X54" s="224"/>
      <c r="Y54" s="224"/>
      <c r="Z54" s="224"/>
      <c r="AA54" s="489"/>
      <c r="AB54" s="489"/>
      <c r="AC54" s="224"/>
      <c r="AD54" s="224"/>
      <c r="AE54" s="489"/>
    </row>
    <row r="55" spans="3:31" ht="16.2" customHeight="1">
      <c r="C55" s="489"/>
      <c r="D55" s="298"/>
      <c r="E55" s="217"/>
      <c r="F55" s="224"/>
      <c r="G55" s="224"/>
      <c r="H55" s="224"/>
      <c r="I55" s="489"/>
      <c r="J55" s="298"/>
      <c r="K55" s="224"/>
      <c r="L55" s="224"/>
      <c r="M55" s="224"/>
      <c r="N55" s="224"/>
      <c r="O55" s="489"/>
      <c r="P55" s="489"/>
      <c r="Q55" s="224"/>
      <c r="R55" s="224"/>
      <c r="S55" s="224"/>
      <c r="T55" s="224"/>
      <c r="U55" s="489"/>
      <c r="V55" s="489"/>
      <c r="W55" s="224"/>
      <c r="X55" s="224"/>
      <c r="Y55" s="224"/>
      <c r="Z55" s="224"/>
      <c r="AA55" s="489"/>
      <c r="AB55" s="489"/>
      <c r="AC55" s="224"/>
      <c r="AD55" s="224"/>
      <c r="AE55" s="489"/>
    </row>
    <row r="56" spans="3:31" ht="16.2" customHeight="1">
      <c r="C56" s="489"/>
      <c r="D56" s="298"/>
      <c r="E56" s="217"/>
      <c r="F56" s="224"/>
      <c r="G56" s="224"/>
      <c r="H56" s="224"/>
      <c r="I56" s="489"/>
      <c r="J56" s="298"/>
      <c r="K56" s="224"/>
      <c r="L56" s="224"/>
      <c r="M56" s="224"/>
      <c r="N56" s="224"/>
      <c r="O56" s="489"/>
      <c r="P56" s="489"/>
      <c r="Q56" s="224"/>
      <c r="R56" s="224"/>
      <c r="S56" s="224"/>
      <c r="T56" s="224"/>
      <c r="U56" s="489"/>
      <c r="V56" s="489"/>
      <c r="W56" s="224"/>
      <c r="X56" s="224"/>
      <c r="Y56" s="224"/>
      <c r="Z56" s="224"/>
      <c r="AA56" s="489"/>
      <c r="AB56" s="489"/>
      <c r="AC56" s="224"/>
      <c r="AD56" s="224"/>
      <c r="AE56" s="489"/>
    </row>
    <row r="57" spans="3:31" ht="16.2" customHeight="1">
      <c r="C57" s="489"/>
      <c r="D57" s="298"/>
      <c r="E57" s="217"/>
      <c r="F57" s="224"/>
      <c r="G57" s="224"/>
      <c r="H57" s="224"/>
      <c r="I57" s="489"/>
      <c r="J57" s="298"/>
      <c r="K57" s="224"/>
      <c r="L57" s="224"/>
      <c r="M57" s="224"/>
      <c r="N57" s="224"/>
      <c r="O57" s="489"/>
      <c r="P57" s="489"/>
      <c r="Q57" s="224"/>
      <c r="R57" s="224"/>
      <c r="S57" s="224"/>
      <c r="T57" s="224"/>
      <c r="U57" s="489"/>
      <c r="V57" s="489"/>
      <c r="W57" s="224"/>
      <c r="X57" s="224"/>
      <c r="Y57" s="224"/>
      <c r="Z57" s="224"/>
      <c r="AA57" s="489"/>
      <c r="AB57" s="489"/>
      <c r="AC57" s="224"/>
      <c r="AD57" s="224"/>
      <c r="AE57" s="489"/>
    </row>
    <row r="58" spans="3:31" ht="16.2" customHeight="1">
      <c r="C58" s="489"/>
      <c r="D58" s="298"/>
      <c r="E58" s="217"/>
      <c r="F58" s="224"/>
      <c r="G58" s="224"/>
      <c r="H58" s="224"/>
      <c r="I58" s="489"/>
      <c r="J58" s="298"/>
      <c r="K58" s="224"/>
      <c r="L58" s="224"/>
      <c r="M58" s="224"/>
      <c r="N58" s="224"/>
      <c r="O58" s="489"/>
      <c r="P58" s="489"/>
      <c r="Q58" s="224"/>
      <c r="R58" s="224"/>
      <c r="S58" s="224"/>
      <c r="T58" s="224"/>
      <c r="U58" s="489"/>
      <c r="V58" s="489"/>
      <c r="W58" s="224"/>
      <c r="X58" s="224"/>
      <c r="Y58" s="224"/>
      <c r="Z58" s="224"/>
      <c r="AA58" s="489"/>
      <c r="AB58" s="489"/>
      <c r="AC58" s="224"/>
      <c r="AD58" s="224"/>
      <c r="AE58" s="489"/>
    </row>
    <row r="59" spans="3:31" ht="16.2" customHeight="1">
      <c r="C59" s="489"/>
      <c r="D59" s="298"/>
      <c r="E59" s="217"/>
      <c r="F59" s="224"/>
      <c r="G59" s="224"/>
      <c r="H59" s="224"/>
      <c r="I59" s="489"/>
      <c r="J59" s="298"/>
      <c r="K59" s="224"/>
      <c r="L59" s="224"/>
      <c r="M59" s="224"/>
      <c r="N59" s="224"/>
      <c r="O59" s="489"/>
      <c r="P59" s="489"/>
      <c r="Q59" s="224"/>
      <c r="R59" s="224"/>
      <c r="S59" s="224"/>
      <c r="T59" s="224"/>
      <c r="U59" s="489"/>
      <c r="V59" s="489"/>
      <c r="W59" s="224"/>
      <c r="X59" s="224"/>
      <c r="Y59" s="224"/>
      <c r="Z59" s="224"/>
      <c r="AA59" s="489"/>
      <c r="AB59" s="489"/>
      <c r="AC59" s="224"/>
      <c r="AD59" s="224"/>
      <c r="AE59" s="489"/>
    </row>
    <row r="60" spans="3:31" ht="16.2" customHeight="1">
      <c r="C60" s="489"/>
      <c r="D60" s="298"/>
      <c r="E60" s="217"/>
      <c r="F60" s="224"/>
      <c r="G60" s="224"/>
      <c r="H60" s="224"/>
      <c r="I60" s="489"/>
      <c r="J60" s="298"/>
      <c r="K60" s="224"/>
      <c r="L60" s="224"/>
      <c r="M60" s="224"/>
      <c r="N60" s="224"/>
      <c r="O60" s="489"/>
      <c r="P60" s="489"/>
      <c r="Q60" s="224"/>
      <c r="R60" s="224"/>
      <c r="S60" s="224"/>
      <c r="T60" s="224"/>
      <c r="U60" s="489"/>
      <c r="V60" s="489"/>
      <c r="W60" s="224"/>
      <c r="X60" s="224"/>
      <c r="Y60" s="224"/>
      <c r="Z60" s="224"/>
      <c r="AA60" s="489"/>
      <c r="AB60" s="489"/>
      <c r="AC60" s="224"/>
      <c r="AD60" s="224"/>
      <c r="AE60" s="489"/>
    </row>
    <row r="61" spans="3:31" ht="16.2" customHeight="1">
      <c r="C61" s="489"/>
      <c r="D61" s="298"/>
      <c r="E61" s="217"/>
      <c r="F61" s="224"/>
      <c r="G61" s="224"/>
      <c r="H61" s="224"/>
      <c r="I61" s="489"/>
      <c r="J61" s="298"/>
      <c r="K61" s="224"/>
      <c r="L61" s="224"/>
      <c r="M61" s="224"/>
      <c r="N61" s="224"/>
      <c r="O61" s="489"/>
      <c r="P61" s="489"/>
      <c r="Q61" s="224"/>
      <c r="R61" s="224"/>
      <c r="S61" s="224"/>
      <c r="T61" s="224"/>
      <c r="U61" s="489"/>
      <c r="V61" s="489"/>
      <c r="W61" s="224"/>
      <c r="X61" s="224"/>
      <c r="Y61" s="224"/>
      <c r="Z61" s="224"/>
      <c r="AA61" s="489"/>
      <c r="AB61" s="489"/>
      <c r="AC61" s="224"/>
      <c r="AD61" s="224"/>
      <c r="AE61" s="489"/>
    </row>
    <row r="62" spans="3:31" ht="16.2" customHeight="1">
      <c r="C62" s="489"/>
      <c r="D62" s="298"/>
      <c r="E62" s="217"/>
      <c r="F62" s="224"/>
      <c r="G62" s="224"/>
      <c r="H62" s="224"/>
      <c r="I62" s="489"/>
      <c r="J62" s="298"/>
      <c r="K62" s="224"/>
      <c r="L62" s="224"/>
      <c r="M62" s="224"/>
      <c r="N62" s="224"/>
      <c r="O62" s="489"/>
      <c r="P62" s="489"/>
      <c r="Q62" s="224"/>
      <c r="R62" s="224"/>
      <c r="S62" s="224"/>
      <c r="T62" s="224"/>
      <c r="U62" s="489"/>
      <c r="V62" s="489"/>
      <c r="W62" s="224"/>
      <c r="X62" s="224"/>
      <c r="Y62" s="224"/>
      <c r="Z62" s="224"/>
      <c r="AA62" s="489"/>
      <c r="AB62" s="489"/>
      <c r="AC62" s="224"/>
      <c r="AD62" s="224"/>
      <c r="AE62" s="489"/>
    </row>
    <row r="63" spans="3:31" ht="16.2" customHeight="1">
      <c r="C63" s="489"/>
      <c r="D63" s="298"/>
      <c r="E63" s="217"/>
      <c r="F63" s="224"/>
      <c r="G63" s="224"/>
      <c r="H63" s="224"/>
      <c r="I63" s="489"/>
      <c r="J63" s="298"/>
      <c r="K63" s="224"/>
      <c r="L63" s="224"/>
      <c r="M63" s="224"/>
      <c r="N63" s="224"/>
      <c r="O63" s="489"/>
      <c r="P63" s="489"/>
      <c r="Q63" s="224"/>
      <c r="R63" s="224"/>
      <c r="S63" s="224"/>
      <c r="T63" s="224"/>
      <c r="U63" s="489"/>
      <c r="V63" s="489"/>
      <c r="W63" s="224"/>
      <c r="X63" s="224"/>
      <c r="Y63" s="224"/>
      <c r="Z63" s="224"/>
      <c r="AA63" s="489"/>
      <c r="AB63" s="489"/>
      <c r="AC63" s="224"/>
      <c r="AD63" s="224"/>
      <c r="AE63" s="489"/>
    </row>
    <row r="64" spans="3:31" ht="16.2" customHeight="1">
      <c r="C64" s="489"/>
      <c r="D64" s="298"/>
      <c r="E64" s="217"/>
      <c r="F64" s="224"/>
      <c r="G64" s="224"/>
      <c r="H64" s="224"/>
      <c r="I64" s="489"/>
      <c r="J64" s="298"/>
      <c r="K64" s="224"/>
      <c r="L64" s="224"/>
      <c r="M64" s="224"/>
      <c r="N64" s="224"/>
      <c r="O64" s="489"/>
      <c r="P64" s="489"/>
      <c r="Q64" s="224"/>
      <c r="R64" s="224"/>
      <c r="S64" s="224"/>
      <c r="T64" s="224"/>
      <c r="U64" s="489"/>
      <c r="V64" s="489"/>
      <c r="W64" s="224"/>
      <c r="X64" s="224"/>
      <c r="Y64" s="224"/>
      <c r="Z64" s="224"/>
      <c r="AA64" s="489"/>
      <c r="AB64" s="489"/>
      <c r="AC64" s="224"/>
      <c r="AD64" s="224"/>
      <c r="AE64" s="489"/>
    </row>
    <row r="65" spans="3:31" ht="16.2" customHeight="1">
      <c r="C65" s="489"/>
      <c r="D65" s="298"/>
      <c r="E65" s="217"/>
      <c r="F65" s="224"/>
      <c r="G65" s="224"/>
      <c r="H65" s="224"/>
      <c r="I65" s="489"/>
      <c r="J65" s="298"/>
      <c r="K65" s="224"/>
      <c r="L65" s="224"/>
      <c r="M65" s="224"/>
      <c r="N65" s="224"/>
      <c r="O65" s="489"/>
      <c r="P65" s="489"/>
      <c r="Q65" s="224"/>
      <c r="R65" s="224"/>
      <c r="S65" s="224"/>
      <c r="T65" s="224"/>
      <c r="U65" s="489"/>
      <c r="V65" s="489"/>
      <c r="W65" s="224"/>
      <c r="X65" s="224"/>
      <c r="Y65" s="224"/>
      <c r="Z65" s="224"/>
      <c r="AA65" s="489"/>
      <c r="AB65" s="489"/>
      <c r="AC65" s="224"/>
      <c r="AD65" s="224"/>
      <c r="AE65" s="489"/>
    </row>
    <row r="66" spans="3:31" ht="16.2" customHeight="1">
      <c r="C66" s="489"/>
      <c r="D66" s="298"/>
      <c r="E66" s="217"/>
      <c r="F66" s="224"/>
      <c r="G66" s="224"/>
      <c r="H66" s="224"/>
      <c r="I66" s="489"/>
      <c r="J66" s="298"/>
      <c r="K66" s="224"/>
      <c r="L66" s="224"/>
      <c r="M66" s="224"/>
      <c r="N66" s="224"/>
      <c r="O66" s="489"/>
      <c r="P66" s="489"/>
      <c r="Q66" s="224"/>
      <c r="R66" s="224"/>
      <c r="S66" s="224"/>
      <c r="T66" s="224"/>
      <c r="U66" s="489"/>
      <c r="V66" s="489"/>
      <c r="W66" s="224"/>
      <c r="X66" s="224"/>
      <c r="Y66" s="224"/>
      <c r="Z66" s="224"/>
      <c r="AA66" s="489"/>
      <c r="AB66" s="489"/>
      <c r="AC66" s="224"/>
      <c r="AD66" s="224"/>
      <c r="AE66" s="489"/>
    </row>
    <row r="67" spans="3:31" ht="16.2" customHeight="1">
      <c r="C67" s="489"/>
      <c r="D67" s="298"/>
      <c r="E67" s="217"/>
      <c r="F67" s="224"/>
      <c r="G67" s="224"/>
      <c r="H67" s="224"/>
      <c r="I67" s="489"/>
      <c r="J67" s="298"/>
      <c r="K67" s="224"/>
      <c r="L67" s="224"/>
      <c r="M67" s="224"/>
      <c r="N67" s="224"/>
      <c r="O67" s="489"/>
      <c r="P67" s="489"/>
      <c r="Q67" s="224"/>
      <c r="R67" s="224"/>
      <c r="S67" s="224"/>
      <c r="T67" s="224"/>
      <c r="U67" s="489"/>
      <c r="V67" s="489"/>
      <c r="W67" s="224"/>
      <c r="X67" s="224"/>
      <c r="Y67" s="224"/>
      <c r="Z67" s="224"/>
      <c r="AA67" s="489"/>
      <c r="AB67" s="489"/>
      <c r="AC67" s="224"/>
      <c r="AD67" s="224"/>
      <c r="AE67" s="489"/>
    </row>
    <row r="68" spans="3:31" ht="16.2" customHeight="1">
      <c r="C68" s="489"/>
      <c r="D68" s="298"/>
      <c r="E68" s="217"/>
      <c r="F68" s="224"/>
      <c r="G68" s="224"/>
      <c r="H68" s="224"/>
      <c r="I68" s="489"/>
      <c r="J68" s="298"/>
      <c r="K68" s="224"/>
      <c r="L68" s="224"/>
      <c r="M68" s="224"/>
      <c r="N68" s="224"/>
      <c r="O68" s="489"/>
      <c r="P68" s="489"/>
      <c r="Q68" s="224"/>
      <c r="R68" s="224"/>
      <c r="S68" s="224"/>
      <c r="T68" s="224"/>
      <c r="U68" s="489"/>
      <c r="V68" s="489"/>
      <c r="W68" s="224"/>
      <c r="X68" s="224"/>
      <c r="Y68" s="224"/>
      <c r="Z68" s="224"/>
      <c r="AA68" s="489"/>
      <c r="AB68" s="489"/>
      <c r="AC68" s="224"/>
      <c r="AD68" s="224"/>
      <c r="AE68" s="489"/>
    </row>
    <row r="69" spans="3:31" ht="16.2" customHeight="1">
      <c r="C69" s="489"/>
      <c r="D69" s="298"/>
      <c r="E69" s="217"/>
      <c r="F69" s="224"/>
      <c r="G69" s="224"/>
      <c r="H69" s="224"/>
      <c r="I69" s="489"/>
      <c r="J69" s="298"/>
      <c r="K69" s="224"/>
      <c r="L69" s="224"/>
      <c r="M69" s="224"/>
      <c r="N69" s="224"/>
      <c r="O69" s="489"/>
      <c r="P69" s="489"/>
      <c r="Q69" s="224"/>
      <c r="R69" s="224"/>
      <c r="S69" s="224"/>
      <c r="T69" s="224"/>
      <c r="U69" s="489"/>
      <c r="V69" s="489"/>
      <c r="W69" s="224"/>
      <c r="X69" s="224"/>
      <c r="Y69" s="224"/>
      <c r="Z69" s="224"/>
      <c r="AA69" s="489"/>
      <c r="AB69" s="489"/>
      <c r="AC69" s="224"/>
      <c r="AD69" s="224"/>
      <c r="AE69" s="489"/>
    </row>
    <row r="70" spans="3:31" ht="16.2" customHeight="1">
      <c r="C70" s="489"/>
      <c r="D70" s="298"/>
      <c r="E70" s="217"/>
      <c r="F70" s="224"/>
      <c r="G70" s="224"/>
      <c r="H70" s="224"/>
      <c r="I70" s="489"/>
      <c r="J70" s="298"/>
      <c r="K70" s="224"/>
      <c r="L70" s="224"/>
      <c r="M70" s="224"/>
      <c r="N70" s="224"/>
      <c r="O70" s="489"/>
      <c r="P70" s="489"/>
      <c r="Q70" s="224"/>
      <c r="R70" s="224"/>
      <c r="S70" s="224"/>
      <c r="T70" s="224"/>
      <c r="U70" s="489"/>
      <c r="V70" s="489"/>
      <c r="W70" s="224"/>
      <c r="X70" s="224"/>
      <c r="Y70" s="224"/>
      <c r="Z70" s="224"/>
      <c r="AA70" s="489"/>
      <c r="AB70" s="489"/>
      <c r="AC70" s="224"/>
      <c r="AD70" s="224"/>
      <c r="AE70" s="489"/>
    </row>
    <row r="71" spans="3:31" ht="16.2" customHeight="1">
      <c r="C71" s="489"/>
      <c r="D71" s="298"/>
      <c r="E71" s="217"/>
      <c r="F71" s="224"/>
      <c r="G71" s="224"/>
      <c r="H71" s="224"/>
      <c r="I71" s="489"/>
      <c r="J71" s="298"/>
      <c r="K71" s="224"/>
      <c r="L71" s="224"/>
      <c r="M71" s="224"/>
      <c r="N71" s="224"/>
      <c r="O71" s="489"/>
      <c r="P71" s="489"/>
      <c r="Q71" s="224"/>
      <c r="R71" s="224"/>
      <c r="S71" s="224"/>
      <c r="T71" s="224"/>
      <c r="U71" s="489"/>
      <c r="V71" s="489"/>
      <c r="W71" s="224"/>
      <c r="X71" s="224"/>
      <c r="Y71" s="224"/>
      <c r="Z71" s="224"/>
      <c r="AA71" s="489"/>
      <c r="AB71" s="489"/>
      <c r="AC71" s="224"/>
      <c r="AD71" s="224"/>
      <c r="AE71" s="489"/>
    </row>
    <row r="72" spans="3:31" ht="16.2" customHeight="1">
      <c r="C72" s="489"/>
      <c r="D72" s="298"/>
      <c r="E72" s="217"/>
      <c r="F72" s="224"/>
      <c r="G72" s="224"/>
      <c r="H72" s="224"/>
      <c r="I72" s="489"/>
      <c r="J72" s="298"/>
      <c r="K72" s="224"/>
      <c r="L72" s="224"/>
      <c r="M72" s="224"/>
      <c r="N72" s="224"/>
      <c r="O72" s="489"/>
      <c r="P72" s="489"/>
      <c r="Q72" s="224"/>
      <c r="R72" s="224"/>
      <c r="S72" s="224"/>
      <c r="T72" s="224"/>
      <c r="U72" s="489"/>
      <c r="V72" s="489"/>
      <c r="W72" s="224"/>
      <c r="X72" s="224"/>
      <c r="Y72" s="224"/>
      <c r="Z72" s="224"/>
      <c r="AA72" s="489"/>
      <c r="AB72" s="489"/>
      <c r="AC72" s="224"/>
      <c r="AD72" s="224"/>
      <c r="AE72" s="489"/>
    </row>
    <row r="73" spans="3:31" ht="16.2" customHeight="1">
      <c r="C73" s="489"/>
      <c r="D73" s="298"/>
      <c r="E73" s="217"/>
      <c r="F73" s="224"/>
      <c r="G73" s="224"/>
      <c r="H73" s="224"/>
      <c r="I73" s="489"/>
      <c r="J73" s="298"/>
      <c r="K73" s="224"/>
      <c r="L73" s="224"/>
      <c r="M73" s="224"/>
      <c r="N73" s="224"/>
      <c r="O73" s="489"/>
      <c r="P73" s="489"/>
      <c r="Q73" s="224"/>
      <c r="R73" s="224"/>
      <c r="S73" s="224"/>
      <c r="T73" s="224"/>
      <c r="U73" s="489"/>
      <c r="V73" s="489"/>
      <c r="W73" s="224"/>
      <c r="X73" s="224"/>
      <c r="Y73" s="224"/>
      <c r="Z73" s="224"/>
      <c r="AA73" s="489"/>
      <c r="AB73" s="489"/>
      <c r="AC73" s="224"/>
      <c r="AD73" s="224"/>
      <c r="AE73" s="489"/>
    </row>
    <row r="74" spans="3:31" ht="16.2" customHeight="1">
      <c r="C74" s="489"/>
      <c r="D74" s="298"/>
      <c r="E74" s="217"/>
      <c r="F74" s="224"/>
      <c r="G74" s="224"/>
      <c r="H74" s="224"/>
      <c r="I74" s="489"/>
      <c r="J74" s="298"/>
      <c r="K74" s="224"/>
      <c r="L74" s="224"/>
      <c r="M74" s="224"/>
      <c r="N74" s="224"/>
      <c r="O74" s="489"/>
      <c r="P74" s="489"/>
      <c r="Q74" s="224"/>
      <c r="R74" s="224"/>
      <c r="S74" s="224"/>
      <c r="T74" s="224"/>
      <c r="U74" s="489"/>
      <c r="V74" s="489"/>
      <c r="W74" s="224"/>
      <c r="X74" s="224"/>
      <c r="Y74" s="224"/>
      <c r="Z74" s="224"/>
      <c r="AA74" s="489"/>
      <c r="AB74" s="489"/>
      <c r="AC74" s="224"/>
      <c r="AD74" s="224"/>
      <c r="AE74" s="489"/>
    </row>
    <row r="75" spans="3:31" ht="16.2" customHeight="1">
      <c r="C75" s="489"/>
      <c r="D75" s="298"/>
      <c r="E75" s="217"/>
      <c r="F75" s="224"/>
      <c r="G75" s="224"/>
      <c r="H75" s="224"/>
      <c r="I75" s="489"/>
      <c r="J75" s="298"/>
      <c r="K75" s="224"/>
      <c r="L75" s="224"/>
      <c r="M75" s="224"/>
      <c r="N75" s="224"/>
      <c r="O75" s="489"/>
      <c r="P75" s="489"/>
      <c r="Q75" s="224"/>
      <c r="R75" s="224"/>
      <c r="S75" s="224"/>
      <c r="T75" s="224"/>
      <c r="U75" s="489"/>
      <c r="V75" s="489"/>
      <c r="W75" s="224"/>
      <c r="X75" s="224"/>
      <c r="Y75" s="224"/>
      <c r="Z75" s="224"/>
      <c r="AA75" s="489"/>
      <c r="AB75" s="489"/>
      <c r="AC75" s="224"/>
      <c r="AD75" s="224"/>
      <c r="AE75" s="489"/>
    </row>
    <row r="76" spans="3:31" ht="16.2" customHeight="1">
      <c r="C76" s="489"/>
      <c r="D76" s="298"/>
      <c r="E76" s="217"/>
      <c r="F76" s="224"/>
      <c r="G76" s="224"/>
      <c r="H76" s="224"/>
      <c r="I76" s="489"/>
      <c r="J76" s="298"/>
      <c r="K76" s="224"/>
      <c r="L76" s="224"/>
      <c r="M76" s="224"/>
      <c r="N76" s="224"/>
      <c r="O76" s="489"/>
      <c r="P76" s="489"/>
      <c r="Q76" s="224"/>
      <c r="R76" s="224"/>
      <c r="S76" s="224"/>
      <c r="T76" s="224"/>
      <c r="U76" s="489"/>
      <c r="V76" s="489"/>
      <c r="W76" s="224"/>
      <c r="X76" s="224"/>
      <c r="Y76" s="224"/>
      <c r="Z76" s="224"/>
      <c r="AA76" s="489"/>
      <c r="AB76" s="489"/>
      <c r="AC76" s="224"/>
      <c r="AD76" s="224"/>
      <c r="AE76" s="489"/>
    </row>
    <row r="77" spans="3:31" ht="16.2" customHeight="1">
      <c r="C77" s="489"/>
      <c r="D77" s="298"/>
      <c r="E77" s="217"/>
      <c r="F77" s="224"/>
      <c r="G77" s="224"/>
      <c r="H77" s="224"/>
      <c r="I77" s="489"/>
      <c r="J77" s="298"/>
      <c r="K77" s="224"/>
      <c r="L77" s="224"/>
      <c r="M77" s="224"/>
      <c r="N77" s="224"/>
      <c r="O77" s="489"/>
      <c r="P77" s="489"/>
      <c r="Q77" s="224"/>
      <c r="R77" s="224"/>
      <c r="S77" s="224"/>
      <c r="T77" s="224"/>
      <c r="U77" s="489"/>
      <c r="V77" s="489"/>
      <c r="W77" s="224"/>
      <c r="X77" s="224"/>
      <c r="Y77" s="224"/>
      <c r="Z77" s="224"/>
      <c r="AA77" s="489"/>
      <c r="AB77" s="489"/>
      <c r="AC77" s="224"/>
      <c r="AD77" s="224"/>
      <c r="AE77" s="489"/>
    </row>
    <row r="78" spans="3:31" ht="16.2" customHeight="1">
      <c r="C78" s="489"/>
      <c r="D78" s="298"/>
      <c r="E78" s="217"/>
      <c r="F78" s="224"/>
      <c r="G78" s="224"/>
      <c r="H78" s="224"/>
      <c r="I78" s="489"/>
      <c r="J78" s="298"/>
      <c r="K78" s="224"/>
      <c r="L78" s="224"/>
      <c r="M78" s="224"/>
      <c r="N78" s="224"/>
      <c r="O78" s="489"/>
      <c r="P78" s="489"/>
      <c r="Q78" s="224"/>
      <c r="R78" s="224"/>
      <c r="S78" s="224"/>
      <c r="T78" s="224"/>
      <c r="U78" s="489"/>
      <c r="V78" s="489"/>
      <c r="W78" s="224"/>
      <c r="X78" s="224"/>
      <c r="Y78" s="224"/>
      <c r="Z78" s="224"/>
      <c r="AA78" s="489"/>
      <c r="AB78" s="489"/>
      <c r="AC78" s="224"/>
      <c r="AD78" s="224"/>
      <c r="AE78" s="489"/>
    </row>
    <row r="79" spans="3:31" ht="16.2" customHeight="1">
      <c r="C79" s="489"/>
      <c r="D79" s="298"/>
      <c r="E79" s="217"/>
      <c r="F79" s="224"/>
      <c r="G79" s="224"/>
      <c r="H79" s="224"/>
      <c r="I79" s="489"/>
      <c r="J79" s="298"/>
      <c r="K79" s="224"/>
      <c r="L79" s="224"/>
      <c r="M79" s="224"/>
      <c r="N79" s="224"/>
      <c r="O79" s="489"/>
      <c r="P79" s="489"/>
      <c r="Q79" s="224"/>
      <c r="R79" s="224"/>
      <c r="S79" s="224"/>
      <c r="T79" s="224"/>
      <c r="U79" s="489"/>
      <c r="V79" s="489"/>
      <c r="W79" s="224"/>
      <c r="X79" s="224"/>
      <c r="Y79" s="224"/>
      <c r="Z79" s="224"/>
      <c r="AA79" s="489"/>
      <c r="AB79" s="489"/>
      <c r="AC79" s="224"/>
      <c r="AD79" s="224"/>
      <c r="AE79" s="489"/>
    </row>
    <row r="80" spans="3:31" ht="16.2" customHeight="1">
      <c r="C80" s="489"/>
      <c r="D80" s="298"/>
      <c r="E80" s="217"/>
      <c r="F80" s="224"/>
      <c r="G80" s="224"/>
      <c r="H80" s="224"/>
      <c r="I80" s="489"/>
      <c r="J80" s="298"/>
      <c r="K80" s="224"/>
      <c r="L80" s="224"/>
      <c r="M80" s="224"/>
      <c r="N80" s="224"/>
      <c r="O80" s="489"/>
      <c r="P80" s="489"/>
      <c r="Q80" s="224"/>
      <c r="R80" s="224"/>
      <c r="S80" s="224"/>
      <c r="T80" s="224"/>
      <c r="U80" s="489"/>
      <c r="V80" s="489"/>
      <c r="W80" s="224"/>
      <c r="X80" s="224"/>
      <c r="Y80" s="224"/>
      <c r="Z80" s="224"/>
      <c r="AA80" s="489"/>
      <c r="AB80" s="489"/>
      <c r="AC80" s="224"/>
      <c r="AD80" s="224"/>
      <c r="AE80" s="489"/>
    </row>
    <row r="81" spans="3:31" ht="16.2" customHeight="1">
      <c r="C81" s="489"/>
      <c r="D81" s="298"/>
      <c r="E81" s="217"/>
      <c r="F81" s="224"/>
      <c r="G81" s="224"/>
      <c r="H81" s="224"/>
      <c r="I81" s="489"/>
      <c r="J81" s="298"/>
      <c r="K81" s="224"/>
      <c r="L81" s="224"/>
      <c r="M81" s="224"/>
      <c r="N81" s="224"/>
      <c r="O81" s="489"/>
      <c r="P81" s="489"/>
      <c r="Q81" s="224"/>
      <c r="R81" s="224"/>
      <c r="S81" s="224"/>
      <c r="T81" s="224"/>
      <c r="U81" s="489"/>
      <c r="V81" s="489"/>
      <c r="W81" s="224"/>
      <c r="X81" s="224"/>
      <c r="Y81" s="224"/>
      <c r="Z81" s="224"/>
      <c r="AA81" s="489"/>
      <c r="AB81" s="489"/>
      <c r="AC81" s="224"/>
      <c r="AD81" s="224"/>
      <c r="AE81" s="489"/>
    </row>
    <row r="82" spans="3:31" ht="16.2" customHeight="1">
      <c r="C82" s="489"/>
      <c r="D82" s="298"/>
      <c r="E82" s="217"/>
      <c r="F82" s="224"/>
      <c r="G82" s="224"/>
      <c r="H82" s="224"/>
      <c r="I82" s="489"/>
      <c r="J82" s="298"/>
      <c r="K82" s="224"/>
      <c r="L82" s="224"/>
      <c r="M82" s="224"/>
      <c r="N82" s="224"/>
      <c r="O82" s="489"/>
      <c r="P82" s="489"/>
      <c r="Q82" s="224"/>
      <c r="R82" s="224"/>
      <c r="S82" s="224"/>
      <c r="T82" s="224"/>
      <c r="U82" s="489"/>
      <c r="V82" s="489"/>
      <c r="W82" s="224"/>
      <c r="X82" s="224"/>
      <c r="Y82" s="224"/>
      <c r="Z82" s="224"/>
      <c r="AA82" s="489"/>
      <c r="AB82" s="489"/>
      <c r="AC82" s="224"/>
      <c r="AD82" s="224"/>
      <c r="AE82" s="489"/>
    </row>
    <row r="83" spans="3:31" ht="16.2" customHeight="1">
      <c r="C83" s="489"/>
      <c r="D83" s="298"/>
      <c r="E83" s="217"/>
      <c r="F83" s="224"/>
      <c r="G83" s="224"/>
      <c r="H83" s="224"/>
      <c r="I83" s="489"/>
      <c r="J83" s="298"/>
      <c r="K83" s="224"/>
      <c r="L83" s="224"/>
      <c r="M83" s="224"/>
      <c r="N83" s="224"/>
      <c r="O83" s="489"/>
      <c r="P83" s="489"/>
      <c r="Q83" s="224"/>
      <c r="R83" s="224"/>
      <c r="S83" s="224"/>
      <c r="T83" s="224"/>
      <c r="U83" s="489"/>
      <c r="V83" s="489"/>
      <c r="W83" s="224"/>
      <c r="X83" s="224"/>
      <c r="Y83" s="224"/>
      <c r="Z83" s="224"/>
      <c r="AA83" s="489"/>
      <c r="AB83" s="489"/>
      <c r="AC83" s="224"/>
      <c r="AD83" s="224"/>
      <c r="AE83" s="489"/>
    </row>
    <row r="84" spans="3:31" ht="16.2" customHeight="1">
      <c r="C84" s="489"/>
      <c r="D84" s="298"/>
      <c r="E84" s="217"/>
      <c r="F84" s="224"/>
      <c r="G84" s="224"/>
      <c r="H84" s="224"/>
      <c r="I84" s="489"/>
      <c r="J84" s="298"/>
      <c r="K84" s="224"/>
      <c r="L84" s="224"/>
      <c r="M84" s="224"/>
      <c r="N84" s="224"/>
      <c r="O84" s="489"/>
      <c r="P84" s="489"/>
      <c r="Q84" s="224"/>
      <c r="R84" s="224"/>
      <c r="S84" s="224"/>
      <c r="T84" s="224"/>
      <c r="U84" s="489"/>
      <c r="V84" s="489"/>
      <c r="W84" s="224"/>
      <c r="X84" s="224"/>
      <c r="Y84" s="224"/>
      <c r="Z84" s="224"/>
      <c r="AA84" s="489"/>
      <c r="AB84" s="489"/>
      <c r="AC84" s="224"/>
      <c r="AD84" s="224"/>
      <c r="AE84" s="489"/>
    </row>
    <row r="85" spans="3:31" ht="16.2" customHeight="1">
      <c r="C85" s="489"/>
      <c r="D85" s="298"/>
      <c r="E85" s="217"/>
      <c r="F85" s="224"/>
      <c r="G85" s="224"/>
      <c r="H85" s="224"/>
      <c r="I85" s="489"/>
      <c r="J85" s="298"/>
      <c r="K85" s="224"/>
      <c r="L85" s="224"/>
      <c r="M85" s="224"/>
      <c r="N85" s="224"/>
      <c r="O85" s="489"/>
      <c r="P85" s="489"/>
      <c r="Q85" s="224"/>
      <c r="R85" s="224"/>
      <c r="S85" s="224"/>
      <c r="T85" s="224"/>
      <c r="U85" s="489"/>
      <c r="V85" s="489"/>
      <c r="W85" s="224"/>
      <c r="X85" s="224"/>
      <c r="Y85" s="224"/>
      <c r="Z85" s="224"/>
      <c r="AA85" s="489"/>
      <c r="AB85" s="489"/>
      <c r="AC85" s="224"/>
      <c r="AD85" s="224"/>
      <c r="AE85" s="489"/>
    </row>
    <row r="86" spans="3:31" ht="16.2" customHeight="1">
      <c r="C86" s="489"/>
      <c r="D86" s="298"/>
      <c r="E86" s="217"/>
      <c r="F86" s="224"/>
      <c r="G86" s="224"/>
      <c r="H86" s="224"/>
      <c r="I86" s="489"/>
      <c r="J86" s="298"/>
      <c r="K86" s="224"/>
      <c r="L86" s="224"/>
      <c r="M86" s="224"/>
      <c r="N86" s="224"/>
      <c r="O86" s="489"/>
      <c r="P86" s="489"/>
      <c r="Q86" s="224"/>
      <c r="R86" s="224"/>
      <c r="S86" s="224"/>
      <c r="T86" s="224"/>
      <c r="U86" s="489"/>
      <c r="V86" s="489"/>
      <c r="W86" s="224"/>
      <c r="X86" s="224"/>
      <c r="Y86" s="224"/>
      <c r="Z86" s="224"/>
      <c r="AA86" s="489"/>
      <c r="AB86" s="489"/>
      <c r="AC86" s="224"/>
      <c r="AD86" s="224"/>
      <c r="AE86" s="489"/>
    </row>
    <row r="87" spans="3:31" ht="16.2" customHeight="1">
      <c r="C87" s="489"/>
      <c r="D87" s="298"/>
      <c r="E87" s="217"/>
      <c r="F87" s="224"/>
      <c r="G87" s="224"/>
      <c r="H87" s="224"/>
      <c r="I87" s="489"/>
      <c r="J87" s="298"/>
      <c r="K87" s="224"/>
      <c r="L87" s="224"/>
      <c r="M87" s="224"/>
      <c r="N87" s="224"/>
      <c r="O87" s="489"/>
      <c r="P87" s="489"/>
      <c r="Q87" s="224"/>
      <c r="R87" s="224"/>
      <c r="S87" s="224"/>
      <c r="T87" s="224"/>
      <c r="U87" s="489"/>
      <c r="V87" s="489"/>
      <c r="W87" s="224"/>
      <c r="X87" s="224"/>
      <c r="Y87" s="224"/>
      <c r="Z87" s="224"/>
      <c r="AA87" s="489"/>
      <c r="AB87" s="489"/>
      <c r="AC87" s="224"/>
      <c r="AD87" s="224"/>
      <c r="AE87" s="489"/>
    </row>
    <row r="88" spans="3:31" ht="16.2" customHeight="1">
      <c r="C88" s="489"/>
      <c r="D88" s="298"/>
      <c r="E88" s="217"/>
      <c r="F88" s="224"/>
      <c r="G88" s="224"/>
      <c r="H88" s="224"/>
      <c r="I88" s="489"/>
      <c r="J88" s="298"/>
      <c r="K88" s="224"/>
      <c r="L88" s="224"/>
      <c r="M88" s="224"/>
      <c r="N88" s="224"/>
      <c r="O88" s="489"/>
      <c r="P88" s="489"/>
      <c r="Q88" s="224"/>
      <c r="R88" s="224"/>
      <c r="S88" s="224"/>
      <c r="T88" s="224"/>
      <c r="U88" s="489"/>
      <c r="V88" s="489"/>
      <c r="W88" s="224"/>
      <c r="X88" s="224"/>
      <c r="Y88" s="224"/>
      <c r="Z88" s="224"/>
      <c r="AA88" s="489"/>
      <c r="AB88" s="489"/>
      <c r="AC88" s="224"/>
      <c r="AD88" s="224"/>
      <c r="AE88" s="489"/>
    </row>
    <row r="89" spans="3:31" ht="16.2" customHeight="1">
      <c r="C89" s="489"/>
      <c r="D89" s="298"/>
      <c r="E89" s="217"/>
      <c r="F89" s="224"/>
      <c r="G89" s="224"/>
      <c r="H89" s="224"/>
      <c r="I89" s="489"/>
      <c r="J89" s="298"/>
      <c r="K89" s="224"/>
      <c r="L89" s="224"/>
      <c r="M89" s="224"/>
      <c r="N89" s="224"/>
      <c r="O89" s="489"/>
      <c r="P89" s="489"/>
      <c r="Q89" s="224"/>
      <c r="R89" s="224"/>
      <c r="S89" s="224"/>
      <c r="T89" s="224"/>
      <c r="U89" s="489"/>
      <c r="V89" s="489"/>
      <c r="W89" s="224"/>
      <c r="X89" s="224"/>
      <c r="Y89" s="224"/>
      <c r="Z89" s="224"/>
      <c r="AA89" s="489"/>
      <c r="AB89" s="489"/>
      <c r="AC89" s="224"/>
      <c r="AD89" s="224"/>
      <c r="AE89" s="489"/>
    </row>
    <row r="90" spans="3:31" ht="16.2" customHeight="1">
      <c r="C90" s="489"/>
      <c r="D90" s="298"/>
      <c r="E90" s="217"/>
      <c r="F90" s="224"/>
      <c r="G90" s="224"/>
      <c r="H90" s="224"/>
      <c r="I90" s="489"/>
      <c r="J90" s="298"/>
      <c r="K90" s="224"/>
      <c r="L90" s="224"/>
      <c r="M90" s="224"/>
      <c r="N90" s="224"/>
      <c r="O90" s="489"/>
      <c r="P90" s="489"/>
      <c r="Q90" s="224"/>
      <c r="R90" s="224"/>
      <c r="S90" s="224"/>
      <c r="T90" s="224"/>
      <c r="U90" s="489"/>
      <c r="V90" s="489"/>
      <c r="W90" s="224"/>
      <c r="X90" s="224"/>
      <c r="Y90" s="224"/>
      <c r="Z90" s="224"/>
      <c r="AA90" s="489"/>
      <c r="AB90" s="489"/>
      <c r="AC90" s="224"/>
      <c r="AD90" s="224"/>
      <c r="AE90" s="489"/>
    </row>
    <row r="91" spans="3:31" ht="16.2" customHeight="1">
      <c r="C91" s="489"/>
      <c r="D91" s="298"/>
      <c r="E91" s="217"/>
      <c r="F91" s="224"/>
      <c r="G91" s="224"/>
      <c r="H91" s="224"/>
      <c r="I91" s="489"/>
      <c r="J91" s="298"/>
      <c r="K91" s="224"/>
      <c r="L91" s="224"/>
      <c r="M91" s="224"/>
      <c r="N91" s="224"/>
      <c r="O91" s="489"/>
      <c r="P91" s="489"/>
      <c r="Q91" s="224"/>
      <c r="R91" s="224"/>
      <c r="S91" s="224"/>
      <c r="T91" s="224"/>
      <c r="U91" s="489"/>
      <c r="V91" s="489"/>
      <c r="W91" s="224"/>
      <c r="X91" s="224"/>
      <c r="Y91" s="224"/>
      <c r="Z91" s="224"/>
      <c r="AA91" s="489"/>
      <c r="AB91" s="489"/>
      <c r="AC91" s="224"/>
      <c r="AD91" s="224"/>
      <c r="AE91" s="489"/>
    </row>
    <row r="92" spans="3:31" ht="16.2" customHeight="1">
      <c r="C92" s="489"/>
      <c r="D92" s="298"/>
      <c r="E92" s="217"/>
      <c r="F92" s="224"/>
      <c r="G92" s="224"/>
      <c r="H92" s="224"/>
      <c r="I92" s="489"/>
      <c r="J92" s="298"/>
      <c r="K92" s="224"/>
      <c r="L92" s="224"/>
      <c r="M92" s="224"/>
      <c r="N92" s="224"/>
      <c r="O92" s="489"/>
      <c r="P92" s="489"/>
      <c r="Q92" s="224"/>
      <c r="R92" s="224"/>
      <c r="S92" s="224"/>
      <c r="T92" s="224"/>
      <c r="U92" s="489"/>
      <c r="V92" s="489"/>
      <c r="W92" s="224"/>
      <c r="X92" s="224"/>
      <c r="Y92" s="224"/>
      <c r="Z92" s="224"/>
      <c r="AA92" s="489"/>
      <c r="AB92" s="489"/>
      <c r="AC92" s="224"/>
      <c r="AD92" s="224"/>
      <c r="AE92" s="489"/>
    </row>
    <row r="93" spans="3:31" ht="16.2" customHeight="1">
      <c r="C93" s="489"/>
      <c r="D93" s="298"/>
      <c r="E93" s="217"/>
      <c r="F93" s="224"/>
      <c r="G93" s="224"/>
      <c r="H93" s="224"/>
      <c r="I93" s="489"/>
      <c r="J93" s="298"/>
      <c r="K93" s="224"/>
      <c r="L93" s="224"/>
      <c r="M93" s="224"/>
      <c r="N93" s="224"/>
      <c r="O93" s="489"/>
      <c r="P93" s="489"/>
      <c r="Q93" s="224"/>
      <c r="R93" s="224"/>
      <c r="S93" s="224"/>
      <c r="T93" s="224"/>
      <c r="U93" s="489"/>
      <c r="V93" s="489"/>
      <c r="W93" s="224"/>
      <c r="X93" s="224"/>
      <c r="Y93" s="224"/>
      <c r="Z93" s="224"/>
      <c r="AA93" s="489"/>
      <c r="AB93" s="489"/>
      <c r="AC93" s="224"/>
      <c r="AD93" s="224"/>
      <c r="AE93" s="489"/>
    </row>
    <row r="94" spans="3:31" ht="16.2" customHeight="1">
      <c r="C94" s="489"/>
      <c r="D94" s="298"/>
      <c r="E94" s="217"/>
      <c r="F94" s="224"/>
      <c r="G94" s="224"/>
      <c r="H94" s="224"/>
      <c r="I94" s="489"/>
      <c r="J94" s="298"/>
      <c r="K94" s="224"/>
      <c r="L94" s="224"/>
      <c r="M94" s="224"/>
      <c r="N94" s="224"/>
      <c r="O94" s="489"/>
      <c r="P94" s="489"/>
      <c r="Q94" s="224"/>
      <c r="R94" s="224"/>
      <c r="S94" s="224"/>
      <c r="T94" s="224"/>
      <c r="U94" s="489"/>
      <c r="V94" s="489"/>
      <c r="W94" s="224"/>
      <c r="X94" s="224"/>
      <c r="Y94" s="224"/>
      <c r="Z94" s="224"/>
      <c r="AA94" s="489"/>
      <c r="AB94" s="489"/>
      <c r="AC94" s="224"/>
      <c r="AD94" s="224"/>
      <c r="AE94" s="489"/>
    </row>
    <row r="95" spans="3:31" ht="16.2" customHeight="1">
      <c r="C95" s="489"/>
      <c r="D95" s="298"/>
      <c r="E95" s="217"/>
      <c r="F95" s="224"/>
      <c r="G95" s="224"/>
      <c r="H95" s="224"/>
      <c r="I95" s="489"/>
      <c r="J95" s="298"/>
      <c r="K95" s="224"/>
      <c r="L95" s="224"/>
      <c r="M95" s="224"/>
      <c r="N95" s="224"/>
      <c r="O95" s="489"/>
      <c r="P95" s="489"/>
      <c r="Q95" s="224"/>
      <c r="R95" s="224"/>
      <c r="S95" s="224"/>
      <c r="T95" s="224"/>
      <c r="U95" s="489"/>
      <c r="V95" s="489"/>
      <c r="W95" s="224"/>
      <c r="X95" s="224"/>
      <c r="Y95" s="224"/>
      <c r="Z95" s="224"/>
      <c r="AA95" s="489"/>
      <c r="AB95" s="489"/>
      <c r="AC95" s="224"/>
      <c r="AD95" s="224"/>
      <c r="AE95" s="489"/>
    </row>
    <row r="96" spans="3:31" ht="16.2" customHeight="1">
      <c r="C96" s="489"/>
      <c r="D96" s="298"/>
      <c r="E96" s="217"/>
      <c r="F96" s="224"/>
      <c r="G96" s="224"/>
      <c r="H96" s="224"/>
      <c r="I96" s="489"/>
      <c r="J96" s="298"/>
      <c r="K96" s="224"/>
      <c r="L96" s="224"/>
      <c r="M96" s="224"/>
      <c r="N96" s="224"/>
      <c r="O96" s="489"/>
      <c r="P96" s="489"/>
      <c r="Q96" s="224"/>
      <c r="R96" s="224"/>
      <c r="S96" s="224"/>
      <c r="T96" s="224"/>
      <c r="U96" s="489"/>
      <c r="V96" s="489"/>
      <c r="W96" s="224"/>
      <c r="X96" s="224"/>
      <c r="Y96" s="224"/>
      <c r="Z96" s="224"/>
      <c r="AA96" s="489"/>
      <c r="AB96" s="489"/>
      <c r="AC96" s="224"/>
      <c r="AD96" s="224"/>
      <c r="AE96" s="489"/>
    </row>
    <row r="97" spans="3:31" ht="16.2" customHeight="1">
      <c r="C97" s="489"/>
      <c r="D97" s="298"/>
      <c r="E97" s="217"/>
      <c r="F97" s="224"/>
      <c r="G97" s="224"/>
      <c r="H97" s="224"/>
      <c r="I97" s="489"/>
      <c r="J97" s="298"/>
      <c r="K97" s="224"/>
      <c r="L97" s="224"/>
      <c r="M97" s="224"/>
      <c r="N97" s="224"/>
      <c r="O97" s="489"/>
      <c r="P97" s="489"/>
      <c r="Q97" s="224"/>
      <c r="R97" s="224"/>
      <c r="S97" s="224"/>
      <c r="T97" s="224"/>
      <c r="U97" s="489"/>
      <c r="V97" s="489"/>
      <c r="W97" s="224"/>
      <c r="X97" s="224"/>
      <c r="Y97" s="224"/>
      <c r="Z97" s="224"/>
      <c r="AA97" s="489"/>
      <c r="AB97" s="489"/>
      <c r="AC97" s="224"/>
      <c r="AD97" s="224"/>
      <c r="AE97" s="489"/>
    </row>
    <row r="98" spans="3:31" ht="16.2" customHeight="1">
      <c r="C98" s="489"/>
      <c r="D98" s="298"/>
      <c r="E98" s="217"/>
      <c r="F98" s="224"/>
      <c r="G98" s="224"/>
      <c r="H98" s="224"/>
      <c r="I98" s="489"/>
      <c r="J98" s="298"/>
      <c r="K98" s="224"/>
      <c r="L98" s="224"/>
      <c r="M98" s="224"/>
      <c r="N98" s="224"/>
      <c r="O98" s="489"/>
      <c r="P98" s="489"/>
      <c r="Q98" s="224"/>
      <c r="R98" s="224"/>
      <c r="S98" s="224"/>
      <c r="T98" s="224"/>
      <c r="U98" s="489"/>
      <c r="V98" s="489"/>
      <c r="W98" s="224"/>
      <c r="X98" s="224"/>
      <c r="Y98" s="224"/>
      <c r="Z98" s="224"/>
      <c r="AA98" s="489"/>
      <c r="AB98" s="489"/>
      <c r="AC98" s="224"/>
      <c r="AD98" s="224"/>
      <c r="AE98" s="489"/>
    </row>
    <row r="99" spans="3:31" ht="16.2" customHeight="1">
      <c r="C99" s="489"/>
      <c r="D99" s="298"/>
      <c r="E99" s="217"/>
      <c r="F99" s="224"/>
      <c r="G99" s="224"/>
      <c r="H99" s="224"/>
      <c r="I99" s="489"/>
      <c r="J99" s="298"/>
      <c r="K99" s="224"/>
      <c r="L99" s="224"/>
      <c r="M99" s="224"/>
      <c r="N99" s="224"/>
      <c r="O99" s="489"/>
      <c r="P99" s="489"/>
      <c r="Q99" s="224"/>
      <c r="R99" s="224"/>
      <c r="S99" s="224"/>
      <c r="T99" s="224"/>
      <c r="U99" s="489"/>
      <c r="V99" s="489"/>
      <c r="W99" s="224"/>
      <c r="X99" s="224"/>
      <c r="Y99" s="224"/>
      <c r="Z99" s="224"/>
      <c r="AA99" s="489"/>
      <c r="AB99" s="489"/>
      <c r="AC99" s="224"/>
      <c r="AD99" s="224"/>
      <c r="AE99" s="489"/>
    </row>
    <row r="100" spans="3:31" ht="16.2" customHeight="1">
      <c r="C100" s="489"/>
      <c r="D100" s="298"/>
      <c r="E100" s="217"/>
      <c r="F100" s="224"/>
      <c r="G100" s="224"/>
      <c r="H100" s="224"/>
      <c r="I100" s="489"/>
      <c r="J100" s="298"/>
      <c r="K100" s="224"/>
      <c r="L100" s="224"/>
      <c r="M100" s="224"/>
      <c r="N100" s="224"/>
      <c r="O100" s="489"/>
      <c r="P100" s="489"/>
      <c r="Q100" s="224"/>
      <c r="R100" s="224"/>
      <c r="S100" s="224"/>
      <c r="T100" s="224"/>
      <c r="U100" s="489"/>
      <c r="V100" s="489"/>
      <c r="W100" s="224"/>
      <c r="X100" s="224"/>
      <c r="Y100" s="224"/>
      <c r="Z100" s="224"/>
      <c r="AA100" s="489"/>
      <c r="AB100" s="489"/>
      <c r="AC100" s="224"/>
      <c r="AD100" s="224"/>
      <c r="AE100" s="489"/>
    </row>
    <row r="101" spans="3:31" ht="16.2" customHeight="1">
      <c r="C101" s="489"/>
      <c r="D101" s="298"/>
      <c r="E101" s="217"/>
      <c r="F101" s="224"/>
      <c r="G101" s="224"/>
      <c r="H101" s="224"/>
      <c r="I101" s="489"/>
      <c r="J101" s="298"/>
      <c r="K101" s="224"/>
      <c r="L101" s="224"/>
      <c r="M101" s="224"/>
      <c r="N101" s="224"/>
      <c r="O101" s="489"/>
      <c r="P101" s="489"/>
      <c r="Q101" s="224"/>
      <c r="R101" s="224"/>
      <c r="S101" s="224"/>
      <c r="T101" s="224"/>
      <c r="U101" s="489"/>
      <c r="V101" s="489"/>
      <c r="W101" s="224"/>
      <c r="X101" s="224"/>
      <c r="Y101" s="224"/>
      <c r="Z101" s="224"/>
      <c r="AA101" s="489"/>
      <c r="AB101" s="489"/>
      <c r="AC101" s="224"/>
      <c r="AD101" s="224"/>
      <c r="AE101" s="489"/>
    </row>
    <row r="102" spans="3:31" ht="16.2" customHeight="1">
      <c r="C102" s="489"/>
      <c r="D102" s="298"/>
      <c r="E102" s="217"/>
      <c r="F102" s="224"/>
      <c r="G102" s="224"/>
      <c r="H102" s="224"/>
      <c r="I102" s="489"/>
      <c r="J102" s="298"/>
      <c r="K102" s="224"/>
      <c r="L102" s="224"/>
      <c r="M102" s="224"/>
      <c r="N102" s="224"/>
      <c r="O102" s="489"/>
      <c r="P102" s="489"/>
      <c r="Q102" s="224"/>
      <c r="R102" s="224"/>
      <c r="S102" s="224"/>
      <c r="T102" s="224"/>
      <c r="U102" s="489"/>
      <c r="V102" s="489"/>
      <c r="W102" s="224"/>
      <c r="X102" s="224"/>
      <c r="Y102" s="224"/>
      <c r="Z102" s="224"/>
      <c r="AA102" s="489"/>
      <c r="AB102" s="489"/>
      <c r="AC102" s="224"/>
      <c r="AD102" s="224"/>
      <c r="AE102" s="489"/>
    </row>
    <row r="103" spans="3:31" ht="16.2" customHeight="1">
      <c r="D103" s="1"/>
      <c r="J103" s="1"/>
    </row>
    <row r="104" spans="3:31" ht="16.2" customHeight="1">
      <c r="D104" s="1"/>
      <c r="J104" s="1"/>
    </row>
    <row r="105" spans="3:31" ht="16.2" customHeight="1">
      <c r="D105" s="1"/>
      <c r="J105" s="1"/>
    </row>
    <row r="106" spans="3:31" ht="16.2" customHeight="1">
      <c r="D106" s="1"/>
      <c r="J106" s="1"/>
    </row>
    <row r="107" spans="3:31" ht="16.2" customHeight="1">
      <c r="D107" s="1"/>
      <c r="J107" s="1"/>
    </row>
    <row r="108" spans="3:31" ht="16.2" customHeight="1">
      <c r="D108" s="1"/>
      <c r="J108" s="1"/>
    </row>
    <row r="109" spans="3:31" ht="16.2" customHeight="1">
      <c r="D109" s="1"/>
      <c r="J109" s="1"/>
    </row>
    <row r="110" spans="3:31" ht="16.2" customHeight="1">
      <c r="D110" s="1"/>
      <c r="J110" s="1"/>
    </row>
    <row r="111" spans="3:31" ht="16.2" customHeight="1">
      <c r="D111" s="1"/>
      <c r="J111" s="1"/>
    </row>
    <row r="112" spans="3:31" ht="16.2" customHeight="1">
      <c r="D112" s="1"/>
      <c r="J112" s="1"/>
    </row>
    <row r="113" spans="4:10" ht="16.2" customHeight="1">
      <c r="D113" s="1"/>
      <c r="J113" s="1"/>
    </row>
    <row r="114" spans="4:10" ht="16.2" customHeight="1">
      <c r="D114" s="1"/>
      <c r="J114" s="1"/>
    </row>
    <row r="115" spans="4:10" ht="16.2" customHeight="1">
      <c r="D115" s="1"/>
      <c r="J115" s="1"/>
    </row>
    <row r="116" spans="4:10" ht="16.2" customHeight="1">
      <c r="D116" s="1"/>
      <c r="J116" s="1"/>
    </row>
    <row r="117" spans="4:10" ht="16.2" customHeight="1">
      <c r="D117" s="1"/>
      <c r="J117" s="1"/>
    </row>
    <row r="118" spans="4:10" ht="16.2" customHeight="1">
      <c r="D118" s="1"/>
      <c r="J118" s="1"/>
    </row>
    <row r="119" spans="4:10" ht="16.2" customHeight="1">
      <c r="D119" s="1"/>
      <c r="J119" s="1"/>
    </row>
    <row r="120" spans="4:10" ht="16.2" customHeight="1">
      <c r="D120" s="1"/>
      <c r="J120" s="1"/>
    </row>
    <row r="121" spans="4:10" ht="16.2" customHeight="1">
      <c r="D121" s="1"/>
      <c r="J121" s="1"/>
    </row>
    <row r="122" spans="4:10" ht="16.2" customHeight="1">
      <c r="D122" s="1"/>
      <c r="J122" s="1"/>
    </row>
    <row r="123" spans="4:10" ht="16.2" customHeight="1">
      <c r="D123" s="1"/>
      <c r="J123" s="1"/>
    </row>
    <row r="124" spans="4:10" ht="16.2" customHeight="1">
      <c r="D124" s="1"/>
      <c r="J124" s="1"/>
    </row>
    <row r="125" spans="4:10" ht="16.2" customHeight="1">
      <c r="D125" s="1"/>
      <c r="J125" s="1"/>
    </row>
    <row r="126" spans="4:10" ht="16.2" customHeight="1">
      <c r="D126" s="1"/>
      <c r="J126" s="1"/>
    </row>
    <row r="127" spans="4:10" ht="16.2" customHeight="1">
      <c r="D127" s="1"/>
      <c r="J127" s="1"/>
    </row>
    <row r="128" spans="4:10" ht="16.2" customHeight="1">
      <c r="D128" s="1"/>
      <c r="J128" s="1"/>
    </row>
    <row r="129" spans="4:10" ht="16.2" customHeight="1">
      <c r="D129" s="1"/>
      <c r="J129" s="1"/>
    </row>
    <row r="130" spans="4:10" ht="16.2" customHeight="1">
      <c r="D130" s="1"/>
      <c r="J130" s="1"/>
    </row>
    <row r="131" spans="4:10" ht="16.2" customHeight="1">
      <c r="D131" s="1"/>
      <c r="J131" s="1"/>
    </row>
    <row r="132" spans="4:10" ht="16.2" customHeight="1">
      <c r="D132" s="1"/>
      <c r="J132" s="1"/>
    </row>
    <row r="133" spans="4:10" ht="16.2" customHeight="1">
      <c r="D133" s="1"/>
      <c r="J133" s="1"/>
    </row>
    <row r="134" spans="4:10" ht="16.2" customHeight="1">
      <c r="D134" s="1"/>
      <c r="J134" s="1"/>
    </row>
    <row r="135" spans="4:10" ht="16.2" customHeight="1">
      <c r="D135" s="1"/>
      <c r="J135" s="1"/>
    </row>
    <row r="136" spans="4:10" ht="16.2" customHeight="1">
      <c r="D136" s="1"/>
      <c r="J136" s="1"/>
    </row>
    <row r="137" spans="4:10" ht="16.2" customHeight="1">
      <c r="D137" s="1"/>
      <c r="J137" s="1"/>
    </row>
    <row r="138" spans="4:10" ht="16.2" customHeight="1">
      <c r="D138" s="1"/>
      <c r="J138" s="1"/>
    </row>
    <row r="139" spans="4:10" ht="16.2" customHeight="1">
      <c r="D139" s="1"/>
      <c r="J139" s="1"/>
    </row>
    <row r="140" spans="4:10" ht="16.2" customHeight="1">
      <c r="D140" s="1"/>
      <c r="J140" s="1"/>
    </row>
    <row r="141" spans="4:10" ht="16.2" customHeight="1">
      <c r="D141" s="1"/>
      <c r="J141" s="1"/>
    </row>
    <row r="142" spans="4:10" ht="16.2" customHeight="1">
      <c r="D142" s="1"/>
      <c r="J142" s="1"/>
    </row>
    <row r="143" spans="4:10" ht="16.2" customHeight="1">
      <c r="D143" s="1"/>
      <c r="J143" s="1"/>
    </row>
    <row r="144" spans="4:10" ht="16.2" customHeight="1">
      <c r="D144" s="1"/>
      <c r="J144" s="1"/>
    </row>
    <row r="145" spans="4:10" ht="16.2" customHeight="1">
      <c r="D145" s="1"/>
      <c r="J145" s="1"/>
    </row>
    <row r="146" spans="4:10" ht="16.2" customHeight="1">
      <c r="D146" s="1"/>
      <c r="J146" s="1"/>
    </row>
    <row r="147" spans="4:10" ht="16.2" customHeight="1">
      <c r="D147" s="1"/>
      <c r="J147" s="1"/>
    </row>
    <row r="148" spans="4:10" ht="16.2" customHeight="1">
      <c r="D148" s="1"/>
      <c r="J148" s="1"/>
    </row>
    <row r="149" spans="4:10" ht="16.2" customHeight="1">
      <c r="D149" s="1"/>
      <c r="J149" s="1"/>
    </row>
    <row r="150" spans="4:10" ht="16.2" customHeight="1">
      <c r="D150" s="1"/>
      <c r="J150" s="1"/>
    </row>
    <row r="151" spans="4:10" ht="16.2" customHeight="1">
      <c r="D151" s="1"/>
      <c r="J151" s="1"/>
    </row>
    <row r="152" spans="4:10" ht="16.2" customHeight="1">
      <c r="D152" s="1"/>
      <c r="J152" s="1"/>
    </row>
    <row r="153" spans="4:10" ht="16.2" customHeight="1">
      <c r="D153" s="1"/>
      <c r="J153" s="1"/>
    </row>
    <row r="154" spans="4:10" ht="16.2" customHeight="1">
      <c r="D154" s="1"/>
      <c r="J154" s="1"/>
    </row>
    <row r="155" spans="4:10" ht="16.2" customHeight="1">
      <c r="D155" s="1"/>
      <c r="J155" s="1"/>
    </row>
    <row r="156" spans="4:10" ht="16.2" customHeight="1">
      <c r="D156" s="1"/>
      <c r="J156" s="1"/>
    </row>
    <row r="157" spans="4:10" ht="16.2" customHeight="1">
      <c r="D157" s="1"/>
      <c r="J157" s="1"/>
    </row>
    <row r="158" spans="4:10" ht="16.2" customHeight="1">
      <c r="D158" s="1"/>
      <c r="J158" s="1"/>
    </row>
    <row r="159" spans="4:10" ht="16.2" customHeight="1">
      <c r="D159" s="1"/>
      <c r="J159" s="1"/>
    </row>
    <row r="160" spans="4:10" ht="16.2" customHeight="1">
      <c r="D160" s="1"/>
      <c r="J160" s="1"/>
    </row>
    <row r="161" spans="4:10" ht="16.2" customHeight="1">
      <c r="D161" s="1"/>
      <c r="J161" s="1"/>
    </row>
    <row r="162" spans="4:10" ht="16.2" customHeight="1">
      <c r="D162" s="1"/>
      <c r="J162" s="1"/>
    </row>
    <row r="163" spans="4:10" ht="16.2" customHeight="1">
      <c r="D163" s="1"/>
      <c r="J163" s="1"/>
    </row>
    <row r="164" spans="4:10" ht="16.2" customHeight="1">
      <c r="D164" s="1"/>
      <c r="J164" s="1"/>
    </row>
    <row r="165" spans="4:10" ht="16.2" customHeight="1">
      <c r="D165" s="1"/>
      <c r="J165" s="1"/>
    </row>
    <row r="166" spans="4:10" ht="16.2" customHeight="1">
      <c r="D166" s="1"/>
      <c r="J166" s="1"/>
    </row>
    <row r="167" spans="4:10" ht="16.2" customHeight="1">
      <c r="D167" s="1"/>
      <c r="J167" s="1"/>
    </row>
    <row r="168" spans="4:10" ht="16.2" customHeight="1">
      <c r="D168" s="1"/>
      <c r="J168" s="1"/>
    </row>
    <row r="169" spans="4:10" ht="16.2" customHeight="1">
      <c r="D169" s="1"/>
      <c r="J169" s="1"/>
    </row>
    <row r="170" spans="4:10" ht="16.2" customHeight="1">
      <c r="D170" s="1"/>
      <c r="J170" s="1"/>
    </row>
    <row r="171" spans="4:10" ht="16.2" customHeight="1">
      <c r="D171" s="1"/>
      <c r="J171" s="1"/>
    </row>
    <row r="172" spans="4:10" ht="16.2" customHeight="1">
      <c r="D172" s="1"/>
      <c r="J172" s="1"/>
    </row>
    <row r="173" spans="4:10" ht="16.2" customHeight="1">
      <c r="D173" s="1"/>
      <c r="J173" s="1"/>
    </row>
    <row r="174" spans="4:10" ht="16.2" customHeight="1">
      <c r="D174" s="1"/>
      <c r="J174" s="1"/>
    </row>
    <row r="175" spans="4:10" ht="16.2" customHeight="1">
      <c r="D175" s="1"/>
      <c r="J175" s="1"/>
    </row>
    <row r="176" spans="4:10" ht="16.2" customHeight="1">
      <c r="D176" s="1"/>
      <c r="J176" s="1"/>
    </row>
    <row r="177" spans="4:10" ht="16.2" customHeight="1">
      <c r="D177" s="1"/>
      <c r="J177" s="1"/>
    </row>
    <row r="178" spans="4:10" ht="16.2" customHeight="1">
      <c r="D178" s="1"/>
      <c r="J178" s="1"/>
    </row>
    <row r="179" spans="4:10" ht="16.2" customHeight="1">
      <c r="D179" s="1"/>
      <c r="J179" s="1"/>
    </row>
    <row r="180" spans="4:10" ht="16.2" customHeight="1">
      <c r="D180" s="1"/>
      <c r="J180" s="1"/>
    </row>
    <row r="181" spans="4:10" ht="16.2" customHeight="1">
      <c r="D181" s="1"/>
      <c r="J181" s="1"/>
    </row>
    <row r="182" spans="4:10" ht="16.2" customHeight="1">
      <c r="D182" s="1"/>
      <c r="J182" s="1"/>
    </row>
    <row r="183" spans="4:10" ht="16.2" customHeight="1">
      <c r="D183" s="1"/>
      <c r="J183" s="1"/>
    </row>
    <row r="184" spans="4:10" ht="16.2" customHeight="1">
      <c r="D184" s="1"/>
      <c r="J184" s="1"/>
    </row>
    <row r="185" spans="4:10" ht="16.2" customHeight="1">
      <c r="D185" s="1"/>
      <c r="J185" s="1"/>
    </row>
    <row r="186" spans="4:10" ht="16.2" customHeight="1">
      <c r="D186" s="1"/>
      <c r="J186" s="1"/>
    </row>
    <row r="187" spans="4:10" ht="16.2" customHeight="1">
      <c r="D187" s="1"/>
      <c r="J187" s="1"/>
    </row>
    <row r="188" spans="4:10" ht="16.2" customHeight="1">
      <c r="D188" s="1"/>
      <c r="J188" s="1"/>
    </row>
    <row r="189" spans="4:10" ht="16.2" customHeight="1">
      <c r="D189" s="1"/>
      <c r="J189" s="1"/>
    </row>
    <row r="190" spans="4:10" ht="16.2" customHeight="1">
      <c r="D190" s="1"/>
      <c r="J190" s="1"/>
    </row>
    <row r="191" spans="4:10" ht="16.2" customHeight="1">
      <c r="D191" s="1"/>
      <c r="J191" s="1"/>
    </row>
    <row r="192" spans="4:10" ht="16.2" customHeight="1">
      <c r="D192" s="1"/>
      <c r="J192" s="1"/>
    </row>
    <row r="193" spans="4:10" ht="16.2" customHeight="1">
      <c r="D193" s="1"/>
      <c r="J193" s="1"/>
    </row>
    <row r="194" spans="4:10" ht="16.2" customHeight="1">
      <c r="D194" s="1"/>
      <c r="J194" s="1"/>
    </row>
    <row r="195" spans="4:10" ht="16.2" customHeight="1">
      <c r="D195" s="1"/>
      <c r="J195" s="1"/>
    </row>
    <row r="196" spans="4:10" ht="16.2" customHeight="1">
      <c r="D196" s="1"/>
      <c r="J196" s="1"/>
    </row>
    <row r="197" spans="4:10" ht="16.2" customHeight="1">
      <c r="D197" s="1"/>
      <c r="J197" s="1"/>
    </row>
    <row r="198" spans="4:10" ht="16.2" customHeight="1">
      <c r="D198" s="1"/>
      <c r="J198" s="1"/>
    </row>
    <row r="199" spans="4:10" ht="16.2" customHeight="1">
      <c r="D199" s="1"/>
      <c r="J199" s="1"/>
    </row>
    <row r="200" spans="4:10" ht="16.2" customHeight="1">
      <c r="D200" s="1"/>
      <c r="J200" s="1"/>
    </row>
    <row r="201" spans="4:10" ht="16.2" customHeight="1">
      <c r="D201" s="1"/>
      <c r="J201" s="1"/>
    </row>
    <row r="202" spans="4:10" ht="16.2" customHeight="1">
      <c r="D202" s="1"/>
      <c r="J202" s="1"/>
    </row>
    <row r="203" spans="4:10" ht="16.2" customHeight="1">
      <c r="D203" s="1"/>
      <c r="J203" s="1"/>
    </row>
    <row r="204" spans="4:10" ht="16.2" customHeight="1">
      <c r="D204" s="1"/>
      <c r="J204" s="1"/>
    </row>
    <row r="205" spans="4:10" ht="16.2" customHeight="1">
      <c r="D205" s="1"/>
      <c r="J205" s="1"/>
    </row>
    <row r="206" spans="4:10" ht="16.2" customHeight="1">
      <c r="D206" s="1"/>
      <c r="J206" s="1"/>
    </row>
    <row r="207" spans="4:10" ht="16.2" customHeight="1">
      <c r="D207" s="1"/>
      <c r="J207" s="1"/>
    </row>
    <row r="208" spans="4:10" ht="16.2" customHeight="1">
      <c r="D208" s="1"/>
      <c r="J208" s="1"/>
    </row>
    <row r="209" spans="4:10" ht="16.2" customHeight="1">
      <c r="D209" s="1"/>
      <c r="J209" s="1"/>
    </row>
    <row r="210" spans="4:10" ht="16.2" customHeight="1">
      <c r="D210" s="1"/>
      <c r="J210" s="1"/>
    </row>
    <row r="211" spans="4:10" ht="16.2" customHeight="1">
      <c r="D211" s="1"/>
      <c r="J211" s="1"/>
    </row>
    <row r="212" spans="4:10" ht="16.2" customHeight="1">
      <c r="D212" s="1"/>
      <c r="J212" s="1"/>
    </row>
    <row r="213" spans="4:10" ht="16.2" customHeight="1">
      <c r="D213" s="1"/>
      <c r="J213" s="1"/>
    </row>
    <row r="214" spans="4:10" ht="16.2" customHeight="1">
      <c r="D214" s="1"/>
      <c r="J214" s="1"/>
    </row>
    <row r="215" spans="4:10" ht="16.2" customHeight="1">
      <c r="D215" s="1"/>
      <c r="J215" s="1"/>
    </row>
    <row r="216" spans="4:10" ht="16.2" customHeight="1">
      <c r="D216" s="1"/>
      <c r="J216" s="1"/>
    </row>
    <row r="217" spans="4:10" ht="16.2" customHeight="1">
      <c r="D217" s="1"/>
      <c r="J217" s="1"/>
    </row>
    <row r="218" spans="4:10" ht="16.2" customHeight="1">
      <c r="D218" s="1"/>
      <c r="J218" s="1"/>
    </row>
    <row r="219" spans="4:10" ht="16.2" customHeight="1">
      <c r="D219" s="1"/>
      <c r="J219" s="1"/>
    </row>
    <row r="220" spans="4:10" ht="16.2" customHeight="1">
      <c r="D220" s="1"/>
      <c r="J220" s="1"/>
    </row>
    <row r="221" spans="4:10" ht="16.2" customHeight="1">
      <c r="D221" s="1"/>
      <c r="J221" s="1"/>
    </row>
    <row r="222" spans="4:10" ht="16.2" customHeight="1">
      <c r="D222" s="1"/>
      <c r="J222" s="1"/>
    </row>
    <row r="223" spans="4:10" ht="16.2" customHeight="1">
      <c r="D223" s="1"/>
      <c r="J223" s="1"/>
    </row>
    <row r="224" spans="4:10" ht="16.2" customHeight="1">
      <c r="D224" s="1"/>
      <c r="J224" s="1"/>
    </row>
    <row r="225" spans="4:10" ht="16.2" customHeight="1">
      <c r="D225" s="1"/>
      <c r="J225" s="1"/>
    </row>
    <row r="226" spans="4:10" ht="16.2" customHeight="1">
      <c r="D226" s="1"/>
      <c r="J226" s="1"/>
    </row>
    <row r="227" spans="4:10" ht="16.2" customHeight="1">
      <c r="D227" s="1"/>
      <c r="J227" s="1"/>
    </row>
    <row r="228" spans="4:10" ht="16.2" customHeight="1">
      <c r="D228" s="1"/>
      <c r="J228" s="1"/>
    </row>
    <row r="229" spans="4:10" ht="16.2" customHeight="1">
      <c r="D229" s="1"/>
      <c r="J229" s="1"/>
    </row>
    <row r="230" spans="4:10" ht="16.2" customHeight="1">
      <c r="D230" s="1"/>
      <c r="J230" s="1"/>
    </row>
    <row r="231" spans="4:10" ht="16.2" customHeight="1">
      <c r="D231" s="1"/>
      <c r="J231" s="1"/>
    </row>
    <row r="232" spans="4:10" ht="16.2" customHeight="1">
      <c r="D232" s="1"/>
      <c r="J232" s="1"/>
    </row>
    <row r="233" spans="4:10" ht="16.2" customHeight="1">
      <c r="D233" s="1"/>
      <c r="J233" s="1"/>
    </row>
    <row r="234" spans="4:10" ht="16.2" customHeight="1">
      <c r="D234" s="1"/>
      <c r="J234" s="1"/>
    </row>
    <row r="235" spans="4:10" ht="16.2" customHeight="1">
      <c r="D235" s="1"/>
      <c r="J235" s="1"/>
    </row>
    <row r="236" spans="4:10" ht="16.2" customHeight="1">
      <c r="D236" s="1"/>
      <c r="J236" s="1"/>
    </row>
    <row r="237" spans="4:10" ht="16.2" customHeight="1">
      <c r="D237" s="1"/>
      <c r="J237" s="1"/>
    </row>
    <row r="238" spans="4:10" ht="16.2" customHeight="1">
      <c r="D238" s="1"/>
      <c r="J238" s="1"/>
    </row>
    <row r="239" spans="4:10" ht="16.2" customHeight="1">
      <c r="D239" s="1"/>
      <c r="J239" s="1"/>
    </row>
    <row r="240" spans="4:10" ht="16.2" customHeight="1">
      <c r="D240" s="1"/>
      <c r="J240" s="1"/>
    </row>
    <row r="241" spans="4:10" ht="16.2" customHeight="1">
      <c r="D241" s="1"/>
      <c r="J241" s="1"/>
    </row>
    <row r="242" spans="4:10" ht="16.2" customHeight="1">
      <c r="D242" s="1"/>
      <c r="J242" s="1"/>
    </row>
    <row r="243" spans="4:10" ht="16.2" customHeight="1">
      <c r="D243" s="1"/>
      <c r="J243" s="1"/>
    </row>
    <row r="244" spans="4:10" ht="16.2" customHeight="1">
      <c r="D244" s="1"/>
      <c r="J244" s="1"/>
    </row>
    <row r="245" spans="4:10" ht="16.2" customHeight="1">
      <c r="D245" s="1"/>
      <c r="J245" s="1"/>
    </row>
    <row r="246" spans="4:10" ht="16.2" customHeight="1">
      <c r="D246" s="1"/>
      <c r="J246" s="1"/>
    </row>
    <row r="247" spans="4:10" ht="16.2" customHeight="1">
      <c r="D247" s="1"/>
      <c r="J247" s="1"/>
    </row>
    <row r="248" spans="4:10" ht="16.2" customHeight="1">
      <c r="D248" s="1"/>
      <c r="J248" s="1"/>
    </row>
    <row r="249" spans="4:10" ht="16.2" customHeight="1">
      <c r="D249" s="1"/>
      <c r="J249" s="1"/>
    </row>
    <row r="250" spans="4:10" ht="16.2" customHeight="1">
      <c r="D250" s="1"/>
      <c r="J250" s="1"/>
    </row>
    <row r="251" spans="4:10" ht="16.2" customHeight="1">
      <c r="D251" s="1"/>
      <c r="J251" s="1"/>
    </row>
    <row r="252" spans="4:10" ht="16.2" customHeight="1">
      <c r="D252" s="1"/>
      <c r="J252" s="1"/>
    </row>
    <row r="253" spans="4:10" ht="16.2" customHeight="1">
      <c r="D253" s="1"/>
      <c r="J253" s="1"/>
    </row>
    <row r="254" spans="4:10" ht="16.2" customHeight="1">
      <c r="D254" s="1"/>
      <c r="J254" s="1"/>
    </row>
    <row r="255" spans="4:10" ht="16.2" customHeight="1">
      <c r="D255" s="1"/>
      <c r="J255" s="1"/>
    </row>
    <row r="256" spans="4:10" ht="16.2" customHeight="1">
      <c r="D256" s="1"/>
      <c r="J256" s="1"/>
    </row>
    <row r="257" spans="4:10" ht="16.2" customHeight="1">
      <c r="D257" s="1"/>
      <c r="J257" s="1"/>
    </row>
    <row r="258" spans="4:10" ht="16.2" customHeight="1">
      <c r="D258" s="1"/>
      <c r="J258" s="1"/>
    </row>
    <row r="259" spans="4:10" ht="16.2" customHeight="1">
      <c r="D259" s="1"/>
      <c r="J259" s="1"/>
    </row>
    <row r="260" spans="4:10" ht="16.2" customHeight="1">
      <c r="D260" s="1"/>
      <c r="J260" s="1"/>
    </row>
    <row r="261" spans="4:10" ht="16.2" customHeight="1">
      <c r="D261" s="1"/>
      <c r="J261" s="1"/>
    </row>
    <row r="262" spans="4:10" ht="16.2" customHeight="1">
      <c r="D262" s="1"/>
      <c r="J262" s="1"/>
    </row>
    <row r="263" spans="4:10" ht="16.2" customHeight="1">
      <c r="D263" s="1"/>
      <c r="J263" s="1"/>
    </row>
    <row r="264" spans="4:10" ht="16.2" customHeight="1">
      <c r="D264" s="1"/>
      <c r="J264" s="1"/>
    </row>
    <row r="265" spans="4:10" ht="16.2" customHeight="1">
      <c r="D265" s="1"/>
      <c r="J265" s="1"/>
    </row>
    <row r="266" spans="4:10" ht="16.2" customHeight="1">
      <c r="D266" s="1"/>
      <c r="J266" s="1"/>
    </row>
    <row r="267" spans="4:10" ht="16.2" customHeight="1">
      <c r="D267" s="1"/>
      <c r="J267" s="1"/>
    </row>
    <row r="268" spans="4:10" ht="16.2" customHeight="1">
      <c r="D268" s="1"/>
      <c r="J268" s="1"/>
    </row>
    <row r="269" spans="4:10" ht="16.2" customHeight="1">
      <c r="D269" s="1"/>
      <c r="J269" s="1"/>
    </row>
    <row r="270" spans="4:10" ht="16.2" customHeight="1">
      <c r="D270" s="1"/>
      <c r="J270" s="1"/>
    </row>
    <row r="271" spans="4:10" ht="16.2" customHeight="1">
      <c r="D271" s="1"/>
      <c r="J271" s="1"/>
    </row>
    <row r="272" spans="4:10" ht="16.2" customHeight="1">
      <c r="D272" s="1"/>
      <c r="J272" s="1"/>
    </row>
    <row r="273" spans="4:10" ht="16.2" customHeight="1">
      <c r="D273" s="1"/>
      <c r="J273" s="1"/>
    </row>
    <row r="274" spans="4:10" ht="16.2" customHeight="1">
      <c r="D274" s="1"/>
      <c r="J274" s="1"/>
    </row>
    <row r="275" spans="4:10" ht="16.2" customHeight="1">
      <c r="D275" s="1"/>
      <c r="J275" s="1"/>
    </row>
    <row r="276" spans="4:10" ht="16.2" customHeight="1">
      <c r="D276" s="1"/>
      <c r="J276" s="1"/>
    </row>
    <row r="277" spans="4:10" ht="16.2" customHeight="1">
      <c r="D277" s="1"/>
      <c r="J277" s="1"/>
    </row>
    <row r="278" spans="4:10" ht="16.2" customHeight="1">
      <c r="D278" s="1"/>
      <c r="J278" s="1"/>
    </row>
    <row r="279" spans="4:10" ht="16.2" customHeight="1">
      <c r="D279" s="1"/>
      <c r="J279" s="1"/>
    </row>
    <row r="280" spans="4:10" ht="16.2" customHeight="1">
      <c r="D280" s="1"/>
      <c r="J280" s="1"/>
    </row>
    <row r="281" spans="4:10" ht="16.2" customHeight="1">
      <c r="D281" s="1"/>
      <c r="J281" s="1"/>
    </row>
    <row r="282" spans="4:10" ht="16.2" customHeight="1">
      <c r="D282" s="1"/>
      <c r="J282" s="1"/>
    </row>
    <row r="283" spans="4:10" ht="16.2" customHeight="1">
      <c r="D283" s="1"/>
      <c r="J283" s="1"/>
    </row>
    <row r="284" spans="4:10" ht="16.2" customHeight="1">
      <c r="D284" s="1"/>
      <c r="J284" s="1"/>
    </row>
    <row r="285" spans="4:10" ht="16.2" customHeight="1">
      <c r="D285" s="1"/>
      <c r="J285" s="1"/>
    </row>
    <row r="286" spans="4:10" ht="16.2" customHeight="1">
      <c r="D286" s="1"/>
      <c r="J286" s="1"/>
    </row>
    <row r="287" spans="4:10" ht="16.2" customHeight="1">
      <c r="D287" s="1"/>
      <c r="J287" s="1"/>
    </row>
    <row r="288" spans="4:10" ht="16.2" customHeight="1">
      <c r="D288" s="1"/>
      <c r="J288" s="1"/>
    </row>
    <row r="289" spans="4:10" ht="16.2" customHeight="1">
      <c r="D289" s="1"/>
      <c r="J289" s="1"/>
    </row>
    <row r="290" spans="4:10" ht="16.2" customHeight="1">
      <c r="D290" s="1"/>
      <c r="J290" s="1"/>
    </row>
    <row r="291" spans="4:10" ht="16.2" customHeight="1">
      <c r="D291" s="1"/>
      <c r="J291" s="1"/>
    </row>
    <row r="292" spans="4:10" ht="16.2" customHeight="1">
      <c r="D292" s="1"/>
      <c r="J292" s="1"/>
    </row>
    <row r="293" spans="4:10" ht="16.2" customHeight="1">
      <c r="D293" s="1"/>
      <c r="J293" s="1"/>
    </row>
    <row r="294" spans="4:10" ht="16.2" customHeight="1">
      <c r="D294" s="1"/>
      <c r="J294" s="1"/>
    </row>
    <row r="295" spans="4:10" ht="16.2" customHeight="1">
      <c r="D295" s="1"/>
      <c r="J295" s="1"/>
    </row>
    <row r="296" spans="4:10" ht="16.2" customHeight="1">
      <c r="D296" s="1"/>
      <c r="J296" s="1"/>
    </row>
    <row r="297" spans="4:10" ht="16.2" customHeight="1">
      <c r="D297" s="1"/>
      <c r="J297" s="1"/>
    </row>
    <row r="298" spans="4:10" ht="16.2" customHeight="1">
      <c r="D298" s="1"/>
      <c r="J298" s="1"/>
    </row>
    <row r="299" spans="4:10" ht="16.2" customHeight="1">
      <c r="D299" s="1"/>
      <c r="J299" s="1"/>
    </row>
    <row r="300" spans="4:10" ht="16.2" customHeight="1">
      <c r="D300" s="1"/>
      <c r="J300" s="1"/>
    </row>
    <row r="301" spans="4:10" ht="16.2" customHeight="1">
      <c r="D301" s="1"/>
      <c r="J301" s="1"/>
    </row>
    <row r="302" spans="4:10" ht="16.2" customHeight="1">
      <c r="D302" s="1"/>
      <c r="J302" s="1"/>
    </row>
    <row r="303" spans="4:10" ht="16.2" customHeight="1">
      <c r="D303" s="1"/>
      <c r="J303" s="1"/>
    </row>
    <row r="304" spans="4:10" ht="16.2" customHeight="1">
      <c r="D304" s="1"/>
      <c r="J304" s="1"/>
    </row>
    <row r="305" spans="4:10" ht="16.2" customHeight="1">
      <c r="D305" s="1"/>
      <c r="J305" s="1"/>
    </row>
    <row r="306" spans="4:10" ht="16.2" customHeight="1">
      <c r="D306" s="1"/>
      <c r="J306" s="1"/>
    </row>
    <row r="307" spans="4:10" ht="16.2" customHeight="1">
      <c r="D307" s="1"/>
      <c r="J307" s="1"/>
    </row>
    <row r="308" spans="4:10" ht="16.2" customHeight="1">
      <c r="D308" s="1"/>
      <c r="J308" s="1"/>
    </row>
    <row r="309" spans="4:10" ht="16.2" customHeight="1">
      <c r="D309" s="1"/>
      <c r="J309" s="1"/>
    </row>
    <row r="310" spans="4:10" ht="16.2" customHeight="1">
      <c r="D310" s="1"/>
      <c r="J310" s="1"/>
    </row>
    <row r="311" spans="4:10" ht="16.2" customHeight="1">
      <c r="D311" s="1"/>
      <c r="J311" s="1"/>
    </row>
    <row r="312" spans="4:10" ht="16.2" customHeight="1">
      <c r="D312" s="1"/>
      <c r="J312" s="1"/>
    </row>
    <row r="313" spans="4:10" ht="16.2" customHeight="1">
      <c r="D313" s="1"/>
      <c r="J313" s="1"/>
    </row>
    <row r="314" spans="4:10" ht="16.2" customHeight="1">
      <c r="D314" s="1"/>
      <c r="J314" s="1"/>
    </row>
    <row r="315" spans="4:10" ht="16.2" customHeight="1">
      <c r="D315" s="1"/>
      <c r="J315" s="1"/>
    </row>
    <row r="316" spans="4:10" ht="16.2" customHeight="1">
      <c r="D316" s="1"/>
      <c r="J316" s="1"/>
    </row>
    <row r="317" spans="4:10" ht="16.2" customHeight="1">
      <c r="D317" s="1"/>
      <c r="J317" s="1"/>
    </row>
    <row r="318" spans="4:10" ht="16.2" customHeight="1">
      <c r="D318" s="1"/>
      <c r="J318" s="1"/>
    </row>
    <row r="319" spans="4:10" ht="16.2" customHeight="1">
      <c r="D319" s="1"/>
      <c r="J319" s="1"/>
    </row>
    <row r="320" spans="4:10" ht="16.2" customHeight="1">
      <c r="D320" s="1"/>
      <c r="J320" s="1"/>
    </row>
    <row r="321" spans="4:10" ht="16.2" customHeight="1">
      <c r="D321" s="1"/>
      <c r="J321" s="1"/>
    </row>
    <row r="322" spans="4:10" ht="16.2" customHeight="1">
      <c r="D322" s="1"/>
      <c r="J322" s="1"/>
    </row>
    <row r="323" spans="4:10" ht="16.2" customHeight="1">
      <c r="D323" s="1"/>
      <c r="J323" s="1"/>
    </row>
    <row r="324" spans="4:10" ht="16.2" customHeight="1">
      <c r="D324" s="1"/>
      <c r="J324" s="1"/>
    </row>
    <row r="325" spans="4:10" ht="16.2" customHeight="1">
      <c r="D325" s="1"/>
      <c r="J325" s="1"/>
    </row>
    <row r="326" spans="4:10" ht="16.2" customHeight="1">
      <c r="D326" s="1"/>
      <c r="J326" s="1"/>
    </row>
    <row r="327" spans="4:10" ht="16.2" customHeight="1">
      <c r="D327" s="1"/>
      <c r="J327" s="1"/>
    </row>
    <row r="328" spans="4:10" ht="16.2" customHeight="1">
      <c r="D328" s="1"/>
      <c r="J328" s="1"/>
    </row>
    <row r="329" spans="4:10" ht="16.2" customHeight="1">
      <c r="D329" s="1"/>
      <c r="J329" s="1"/>
    </row>
    <row r="330" spans="4:10" ht="16.2" customHeight="1">
      <c r="D330" s="1"/>
      <c r="J330" s="1"/>
    </row>
    <row r="331" spans="4:10" ht="16.2" customHeight="1">
      <c r="D331" s="1"/>
      <c r="J331" s="1"/>
    </row>
    <row r="332" spans="4:10" ht="16.2" customHeight="1">
      <c r="D332" s="1"/>
      <c r="J332" s="1"/>
    </row>
    <row r="333" spans="4:10" ht="16.2" customHeight="1">
      <c r="D333" s="1"/>
      <c r="J333" s="1"/>
    </row>
    <row r="334" spans="4:10" ht="16.2" customHeight="1">
      <c r="D334" s="1"/>
      <c r="J334" s="1"/>
    </row>
    <row r="335" spans="4:10" ht="16.2" customHeight="1">
      <c r="D335" s="1"/>
      <c r="J335" s="1"/>
    </row>
    <row r="336" spans="4:10" ht="16.2" customHeight="1">
      <c r="D336" s="1"/>
      <c r="J336" s="1"/>
    </row>
    <row r="337" spans="4:10" ht="16.2" customHeight="1">
      <c r="D337" s="1"/>
      <c r="J337" s="1"/>
    </row>
    <row r="338" spans="4:10" ht="16.2" customHeight="1">
      <c r="D338" s="1"/>
      <c r="J338" s="1"/>
    </row>
    <row r="339" spans="4:10" ht="16.2" customHeight="1">
      <c r="D339" s="1"/>
      <c r="J339" s="1"/>
    </row>
    <row r="340" spans="4:10" ht="16.2" customHeight="1">
      <c r="D340" s="1"/>
      <c r="J340" s="1"/>
    </row>
    <row r="341" spans="4:10" ht="16.2" customHeight="1">
      <c r="D341" s="1"/>
      <c r="J341" s="1"/>
    </row>
    <row r="342" spans="4:10" ht="16.2" customHeight="1">
      <c r="D342" s="1"/>
      <c r="J342" s="1"/>
    </row>
    <row r="343" spans="4:10" ht="16.2" customHeight="1">
      <c r="D343" s="1"/>
      <c r="J343" s="1"/>
    </row>
    <row r="344" spans="4:10" ht="16.2" customHeight="1">
      <c r="D344" s="1"/>
      <c r="J344" s="1"/>
    </row>
    <row r="345" spans="4:10" ht="16.2" customHeight="1">
      <c r="D345" s="1"/>
      <c r="J345" s="1"/>
    </row>
    <row r="346" spans="4:10" ht="16.2" customHeight="1">
      <c r="D346" s="1"/>
      <c r="J346" s="1"/>
    </row>
    <row r="347" spans="4:10" ht="16.2" customHeight="1">
      <c r="D347" s="1"/>
      <c r="J347" s="1"/>
    </row>
    <row r="348" spans="4:10" ht="16.2" customHeight="1">
      <c r="D348" s="1"/>
      <c r="J348" s="1"/>
    </row>
    <row r="349" spans="4:10" ht="16.2" customHeight="1">
      <c r="D349" s="1"/>
      <c r="J349" s="1"/>
    </row>
    <row r="350" spans="4:10" ht="16.2" customHeight="1">
      <c r="D350" s="1"/>
      <c r="J350" s="1"/>
    </row>
    <row r="351" spans="4:10" ht="16.2" customHeight="1">
      <c r="D351" s="1"/>
      <c r="J351" s="1"/>
    </row>
    <row r="352" spans="4:10" ht="16.2" customHeight="1">
      <c r="D352" s="1"/>
      <c r="J352" s="1"/>
    </row>
    <row r="353" spans="4:10" ht="16.2" customHeight="1">
      <c r="D353" s="1"/>
      <c r="J353" s="1"/>
    </row>
    <row r="354" spans="4:10" ht="16.2" customHeight="1">
      <c r="D354" s="1"/>
      <c r="J354" s="1"/>
    </row>
    <row r="355" spans="4:10" ht="16.2" customHeight="1">
      <c r="D355" s="1"/>
      <c r="J355" s="1"/>
    </row>
    <row r="356" spans="4:10" ht="16.2" customHeight="1">
      <c r="D356" s="1"/>
      <c r="J356" s="1"/>
    </row>
    <row r="357" spans="4:10" ht="16.2" customHeight="1">
      <c r="D357" s="1"/>
      <c r="J357" s="1"/>
    </row>
    <row r="358" spans="4:10" ht="16.2" customHeight="1">
      <c r="D358" s="1"/>
      <c r="J358" s="1"/>
    </row>
    <row r="359" spans="4:10" ht="16.2" customHeight="1">
      <c r="D359" s="1"/>
      <c r="J359" s="1"/>
    </row>
    <row r="360" spans="4:10" ht="16.2" customHeight="1">
      <c r="D360" s="1"/>
      <c r="J360" s="1"/>
    </row>
    <row r="361" spans="4:10" ht="16.2" customHeight="1">
      <c r="D361" s="1"/>
      <c r="J361" s="1"/>
    </row>
    <row r="362" spans="4:10" ht="16.2" customHeight="1">
      <c r="D362" s="1"/>
      <c r="J362" s="1"/>
    </row>
    <row r="363" spans="4:10" ht="16.2" customHeight="1">
      <c r="D363" s="1"/>
      <c r="J363" s="1"/>
    </row>
    <row r="364" spans="4:10" ht="16.2" customHeight="1">
      <c r="D364" s="1"/>
      <c r="J364" s="1"/>
    </row>
    <row r="365" spans="4:10" ht="16.2" customHeight="1">
      <c r="D365" s="1"/>
      <c r="J365" s="1"/>
    </row>
    <row r="366" spans="4:10" ht="16.2" customHeight="1">
      <c r="D366" s="1"/>
      <c r="J366" s="1"/>
    </row>
    <row r="367" spans="4:10" ht="16.2" customHeight="1">
      <c r="D367" s="1"/>
      <c r="J367" s="1"/>
    </row>
    <row r="368" spans="4:10" ht="16.2" customHeight="1">
      <c r="D368" s="1"/>
      <c r="J368" s="1"/>
    </row>
    <row r="369" spans="4:10" ht="16.2" customHeight="1">
      <c r="D369" s="1"/>
      <c r="J369" s="1"/>
    </row>
    <row r="370" spans="4:10" ht="16.2" customHeight="1">
      <c r="D370" s="1"/>
      <c r="J370" s="1"/>
    </row>
    <row r="371" spans="4:10" ht="16.2" customHeight="1">
      <c r="D371" s="1"/>
      <c r="J371" s="1"/>
    </row>
    <row r="372" spans="4:10" ht="16.2" customHeight="1">
      <c r="D372" s="1"/>
      <c r="J372" s="1"/>
    </row>
    <row r="373" spans="4:10" ht="16.2" customHeight="1">
      <c r="D373" s="1"/>
      <c r="J373" s="1"/>
    </row>
    <row r="374" spans="4:10" ht="16.2" customHeight="1">
      <c r="D374" s="1"/>
      <c r="J374" s="1"/>
    </row>
    <row r="375" spans="4:10" ht="16.2" customHeight="1">
      <c r="D375" s="1"/>
      <c r="J375" s="1"/>
    </row>
    <row r="376" spans="4:10" ht="16.2" customHeight="1">
      <c r="D376" s="1"/>
      <c r="J376" s="1"/>
    </row>
    <row r="377" spans="4:10" ht="16.2" customHeight="1">
      <c r="D377" s="1"/>
      <c r="J377" s="1"/>
    </row>
    <row r="378" spans="4:10" ht="16.2" customHeight="1">
      <c r="D378" s="1"/>
      <c r="J378" s="1"/>
    </row>
    <row r="379" spans="4:10" ht="16.2" customHeight="1">
      <c r="D379" s="1"/>
      <c r="J379" s="1"/>
    </row>
    <row r="380" spans="4:10" ht="16.2" customHeight="1">
      <c r="D380" s="1"/>
      <c r="J380" s="1"/>
    </row>
    <row r="381" spans="4:10" ht="16.2" customHeight="1">
      <c r="D381" s="1"/>
      <c r="J381" s="1"/>
    </row>
    <row r="382" spans="4:10" ht="16.2" customHeight="1">
      <c r="D382" s="1"/>
      <c r="J382" s="1"/>
    </row>
    <row r="383" spans="4:10" ht="16.2" customHeight="1">
      <c r="D383" s="1"/>
      <c r="J383" s="1"/>
    </row>
    <row r="384" spans="4:10" ht="16.2" customHeight="1">
      <c r="D384" s="1"/>
      <c r="J384" s="1"/>
    </row>
    <row r="385" spans="4:10" ht="16.2" customHeight="1">
      <c r="D385" s="1"/>
      <c r="J385" s="1"/>
    </row>
    <row r="386" spans="4:10" ht="16.2" customHeight="1">
      <c r="D386" s="1"/>
      <c r="J386" s="1"/>
    </row>
    <row r="387" spans="4:10" ht="16.2" customHeight="1">
      <c r="D387" s="1"/>
      <c r="J387" s="1"/>
    </row>
    <row r="388" spans="4:10" ht="16.2" customHeight="1">
      <c r="D388" s="1"/>
      <c r="J388" s="1"/>
    </row>
    <row r="389" spans="4:10" ht="16.2" customHeight="1">
      <c r="D389" s="1"/>
      <c r="J389" s="1"/>
    </row>
    <row r="390" spans="4:10" ht="16.2" customHeight="1">
      <c r="D390" s="1"/>
      <c r="J390" s="1"/>
    </row>
    <row r="391" spans="4:10" ht="16.2" customHeight="1">
      <c r="D391" s="1"/>
      <c r="J391" s="1"/>
    </row>
    <row r="392" spans="4:10" ht="16.2" customHeight="1">
      <c r="D392" s="1"/>
      <c r="J392" s="1"/>
    </row>
    <row r="393" spans="4:10" ht="16.2" customHeight="1">
      <c r="D393" s="1"/>
      <c r="J393" s="1"/>
    </row>
    <row r="394" spans="4:10" ht="16.2" customHeight="1">
      <c r="D394" s="1"/>
      <c r="J394" s="1"/>
    </row>
    <row r="395" spans="4:10" ht="16.2" customHeight="1">
      <c r="D395" s="1"/>
      <c r="J395" s="1"/>
    </row>
    <row r="396" spans="4:10" ht="16.2" customHeight="1">
      <c r="D396" s="1"/>
      <c r="J396" s="1"/>
    </row>
    <row r="397" spans="4:10" ht="16.2" customHeight="1">
      <c r="D397" s="1"/>
      <c r="J397" s="1"/>
    </row>
    <row r="398" spans="4:10" ht="16.2" customHeight="1">
      <c r="D398" s="1"/>
      <c r="J398" s="1"/>
    </row>
    <row r="399" spans="4:10" ht="16.2" customHeight="1">
      <c r="D399" s="1"/>
      <c r="J399" s="1"/>
    </row>
    <row r="400" spans="4:10" ht="16.2" customHeight="1">
      <c r="D400" s="1"/>
      <c r="J400" s="1"/>
    </row>
    <row r="401" spans="4:10" ht="16.2" customHeight="1">
      <c r="D401" s="1"/>
      <c r="J401" s="1"/>
    </row>
    <row r="402" spans="4:10" ht="16.2" customHeight="1">
      <c r="D402" s="1"/>
      <c r="J402" s="1"/>
    </row>
    <row r="403" spans="4:10" ht="16.2" customHeight="1">
      <c r="D403" s="1"/>
      <c r="J403" s="1"/>
    </row>
    <row r="404" spans="4:10" ht="16.2" customHeight="1">
      <c r="D404" s="1"/>
      <c r="J404" s="1"/>
    </row>
    <row r="405" spans="4:10" ht="16.2" customHeight="1">
      <c r="D405" s="1"/>
      <c r="J405" s="1"/>
    </row>
    <row r="406" spans="4:10" ht="16.2" customHeight="1">
      <c r="D406" s="1"/>
      <c r="J406" s="1"/>
    </row>
    <row r="407" spans="4:10" ht="16.2" customHeight="1">
      <c r="D407" s="1"/>
      <c r="J407" s="1"/>
    </row>
    <row r="408" spans="4:10" ht="16.2" customHeight="1">
      <c r="D408" s="1"/>
      <c r="J408" s="1"/>
    </row>
    <row r="409" spans="4:10" ht="16.2" customHeight="1">
      <c r="D409" s="1"/>
      <c r="J409" s="1"/>
    </row>
    <row r="410" spans="4:10" ht="16.2" customHeight="1">
      <c r="D410" s="1"/>
      <c r="J410" s="1"/>
    </row>
    <row r="411" spans="4:10" ht="16.2" customHeight="1">
      <c r="D411" s="1"/>
      <c r="J411" s="1"/>
    </row>
    <row r="412" spans="4:10" ht="16.2" customHeight="1">
      <c r="D412" s="1"/>
      <c r="J412" s="1"/>
    </row>
    <row r="413" spans="4:10" ht="16.2" customHeight="1">
      <c r="D413" s="1"/>
      <c r="J413" s="1"/>
    </row>
    <row r="414" spans="4:10" ht="16.2" customHeight="1">
      <c r="D414" s="1"/>
      <c r="J414" s="1"/>
    </row>
    <row r="415" spans="4:10" ht="16.2" customHeight="1">
      <c r="D415" s="1"/>
      <c r="J415" s="1"/>
    </row>
    <row r="416" spans="4:10" ht="16.2" customHeight="1">
      <c r="D416" s="1"/>
      <c r="J416" s="1"/>
    </row>
    <row r="417" spans="4:10" ht="16.2" customHeight="1">
      <c r="D417" s="1"/>
      <c r="J417" s="1"/>
    </row>
    <row r="418" spans="4:10" ht="16.2" customHeight="1">
      <c r="D418" s="1"/>
      <c r="J418" s="1"/>
    </row>
    <row r="419" spans="4:10" ht="16.2" customHeight="1">
      <c r="D419" s="1"/>
      <c r="J419" s="1"/>
    </row>
    <row r="420" spans="4:10" ht="16.2" customHeight="1">
      <c r="D420" s="1"/>
      <c r="J420" s="1"/>
    </row>
    <row r="421" spans="4:10" ht="16.2" customHeight="1">
      <c r="D421" s="1"/>
      <c r="J421" s="1"/>
    </row>
    <row r="422" spans="4:10" ht="16.2" customHeight="1">
      <c r="D422" s="1"/>
      <c r="J422" s="1"/>
    </row>
    <row r="423" spans="4:10" ht="16.2" customHeight="1">
      <c r="D423" s="1"/>
      <c r="J423" s="1"/>
    </row>
    <row r="424" spans="4:10" ht="16.2" customHeight="1">
      <c r="D424" s="1"/>
      <c r="J424" s="1"/>
    </row>
    <row r="425" spans="4:10" ht="16.2" customHeight="1">
      <c r="D425" s="1"/>
      <c r="J425" s="1"/>
    </row>
    <row r="426" spans="4:10" ht="16.2" customHeight="1">
      <c r="D426" s="1"/>
      <c r="J426" s="1"/>
    </row>
    <row r="427" spans="4:10" ht="16.2" customHeight="1">
      <c r="D427" s="1"/>
      <c r="J427" s="1"/>
    </row>
    <row r="428" spans="4:10" ht="16.2" customHeight="1">
      <c r="D428" s="1"/>
      <c r="J428" s="1"/>
    </row>
    <row r="429" spans="4:10" ht="16.2" customHeight="1">
      <c r="D429" s="1"/>
      <c r="J429" s="1"/>
    </row>
    <row r="430" spans="4:10" ht="16.2" customHeight="1">
      <c r="D430" s="1"/>
      <c r="J430" s="1"/>
    </row>
    <row r="431" spans="4:10" ht="16.2" customHeight="1">
      <c r="D431" s="1"/>
      <c r="J431" s="1"/>
    </row>
    <row r="432" spans="4:10" ht="16.2" customHeight="1">
      <c r="D432" s="1"/>
      <c r="J432" s="1"/>
    </row>
    <row r="433" spans="4:10" ht="16.2" customHeight="1">
      <c r="D433" s="1"/>
      <c r="J433" s="1"/>
    </row>
    <row r="434" spans="4:10" ht="16.2" customHeight="1">
      <c r="D434" s="1"/>
      <c r="J434" s="1"/>
    </row>
    <row r="435" spans="4:10" ht="16.2" customHeight="1">
      <c r="D435" s="1"/>
      <c r="J435" s="1"/>
    </row>
    <row r="436" spans="4:10" ht="16.2" customHeight="1">
      <c r="D436" s="1"/>
      <c r="J436" s="1"/>
    </row>
    <row r="437" spans="4:10" ht="16.2" customHeight="1">
      <c r="D437" s="1"/>
      <c r="J437" s="1"/>
    </row>
    <row r="438" spans="4:10" ht="16.2" customHeight="1">
      <c r="D438" s="1"/>
      <c r="J438" s="1"/>
    </row>
    <row r="439" spans="4:10" ht="16.2" customHeight="1">
      <c r="D439" s="1"/>
      <c r="J439" s="1"/>
    </row>
    <row r="440" spans="4:10" ht="16.2" customHeight="1">
      <c r="D440" s="1"/>
      <c r="J440" s="1"/>
    </row>
    <row r="441" spans="4:10" ht="16.2" customHeight="1">
      <c r="D441" s="1"/>
      <c r="J441" s="1"/>
    </row>
    <row r="442" spans="4:10" ht="16.2" customHeight="1">
      <c r="D442" s="1"/>
      <c r="J442" s="1"/>
    </row>
    <row r="443" spans="4:10" ht="16.2" customHeight="1">
      <c r="D443" s="1"/>
      <c r="J443" s="1"/>
    </row>
    <row r="444" spans="4:10" ht="16.2" customHeight="1">
      <c r="D444" s="1"/>
      <c r="J444" s="1"/>
    </row>
    <row r="445" spans="4:10" ht="16.2" customHeight="1">
      <c r="D445" s="1"/>
      <c r="J445" s="1"/>
    </row>
    <row r="446" spans="4:10" ht="16.2" customHeight="1">
      <c r="D446" s="1"/>
      <c r="J446" s="1"/>
    </row>
    <row r="447" spans="4:10" ht="16.2" customHeight="1">
      <c r="D447" s="1"/>
      <c r="J447" s="1"/>
    </row>
    <row r="448" spans="4:10" ht="16.2" customHeight="1">
      <c r="D448" s="1"/>
      <c r="J448" s="1"/>
    </row>
    <row r="449" spans="4:10" ht="16.2" customHeight="1">
      <c r="D449" s="1"/>
      <c r="J449" s="1"/>
    </row>
    <row r="450" spans="4:10" ht="16.2" customHeight="1">
      <c r="D450" s="1"/>
      <c r="J450" s="1"/>
    </row>
    <row r="451" spans="4:10" ht="16.2" customHeight="1">
      <c r="D451" s="1"/>
      <c r="J451" s="1"/>
    </row>
    <row r="452" spans="4:10" ht="16.2" customHeight="1">
      <c r="D452" s="1"/>
      <c r="J452" s="1"/>
    </row>
    <row r="453" spans="4:10" ht="16.2" customHeight="1">
      <c r="D453" s="1"/>
      <c r="J453" s="1"/>
    </row>
    <row r="454" spans="4:10" ht="16.2" customHeight="1">
      <c r="D454" s="1"/>
      <c r="J454" s="1"/>
    </row>
    <row r="455" spans="4:10" ht="16.2" customHeight="1">
      <c r="D455" s="1"/>
      <c r="J455" s="1"/>
    </row>
    <row r="456" spans="4:10" ht="16.2" customHeight="1">
      <c r="D456" s="1"/>
      <c r="J456" s="1"/>
    </row>
    <row r="457" spans="4:10" ht="16.2" customHeight="1">
      <c r="D457" s="1"/>
      <c r="J457" s="1"/>
    </row>
    <row r="458" spans="4:10" ht="16.2" customHeight="1">
      <c r="D458" s="1"/>
      <c r="J458" s="1"/>
    </row>
    <row r="459" spans="4:10" ht="16.2" customHeight="1">
      <c r="D459" s="1"/>
      <c r="J459" s="1"/>
    </row>
    <row r="460" spans="4:10" ht="16.2" customHeight="1">
      <c r="D460" s="1"/>
      <c r="J460" s="1"/>
    </row>
    <row r="461" spans="4:10" ht="16.2" customHeight="1">
      <c r="D461" s="1"/>
      <c r="J461" s="1"/>
    </row>
    <row r="462" spans="4:10" ht="16.2" customHeight="1">
      <c r="D462" s="1"/>
      <c r="J462" s="1"/>
    </row>
    <row r="463" spans="4:10" ht="16.2" customHeight="1">
      <c r="D463" s="1"/>
      <c r="J463" s="1"/>
    </row>
    <row r="464" spans="4:10" ht="16.2" customHeight="1">
      <c r="D464" s="1"/>
      <c r="J464" s="1"/>
    </row>
    <row r="465" spans="4:10" ht="16.2" customHeight="1">
      <c r="D465" s="1"/>
      <c r="J465" s="1"/>
    </row>
    <row r="466" spans="4:10" ht="16.2" customHeight="1">
      <c r="D466" s="1"/>
      <c r="J466" s="1"/>
    </row>
    <row r="467" spans="4:10" ht="16.2" customHeight="1">
      <c r="D467" s="1"/>
      <c r="J467" s="1"/>
    </row>
    <row r="468" spans="4:10" ht="16.2" customHeight="1">
      <c r="D468" s="1"/>
      <c r="J468" s="1"/>
    </row>
    <row r="469" spans="4:10" ht="16.2" customHeight="1">
      <c r="D469" s="1"/>
      <c r="J469" s="1"/>
    </row>
    <row r="470" spans="4:10" ht="16.2" customHeight="1">
      <c r="D470" s="1"/>
      <c r="J470" s="1"/>
    </row>
    <row r="471" spans="4:10" ht="16.2" customHeight="1">
      <c r="D471" s="1"/>
      <c r="J471" s="1"/>
    </row>
    <row r="472" spans="4:10" ht="16.2" customHeight="1">
      <c r="D472" s="1"/>
      <c r="J472" s="1"/>
    </row>
    <row r="473" spans="4:10" ht="16.2" customHeight="1">
      <c r="D473" s="1"/>
      <c r="J473" s="1"/>
    </row>
    <row r="474" spans="4:10" ht="16.2" customHeight="1">
      <c r="D474" s="1"/>
      <c r="J474" s="1"/>
    </row>
    <row r="475" spans="4:10" ht="16.2" customHeight="1">
      <c r="D475" s="1"/>
      <c r="J475" s="1"/>
    </row>
    <row r="476" spans="4:10" ht="16.2" customHeight="1">
      <c r="D476" s="1"/>
      <c r="J476" s="1"/>
    </row>
    <row r="477" spans="4:10" ht="16.2" customHeight="1">
      <c r="D477" s="1"/>
      <c r="J477" s="1"/>
    </row>
    <row r="478" spans="4:10" ht="16.2" customHeight="1">
      <c r="D478" s="1"/>
      <c r="J478" s="1"/>
    </row>
    <row r="479" spans="4:10" ht="16.2" customHeight="1">
      <c r="D479" s="1"/>
      <c r="J479" s="1"/>
    </row>
    <row r="480" spans="4:10" ht="16.2" customHeight="1">
      <c r="D480" s="1"/>
      <c r="J480" s="1"/>
    </row>
    <row r="481" spans="4:10" ht="16.2" customHeight="1">
      <c r="D481" s="1"/>
      <c r="J481" s="1"/>
    </row>
    <row r="482" spans="4:10" ht="16.2" customHeight="1">
      <c r="D482" s="1"/>
      <c r="J482" s="1"/>
    </row>
    <row r="483" spans="4:10" ht="16.2" customHeight="1">
      <c r="D483" s="1"/>
      <c r="J483" s="1"/>
    </row>
    <row r="484" spans="4:10" ht="16.2" customHeight="1">
      <c r="D484" s="1"/>
      <c r="J484" s="1"/>
    </row>
    <row r="485" spans="4:10" ht="16.2" customHeight="1">
      <c r="D485" s="1"/>
      <c r="J485" s="1"/>
    </row>
    <row r="486" spans="4:10" ht="16.2" customHeight="1">
      <c r="D486" s="1"/>
      <c r="J486" s="1"/>
    </row>
    <row r="487" spans="4:10" ht="16.2" customHeight="1">
      <c r="D487" s="1"/>
      <c r="J487" s="1"/>
    </row>
    <row r="488" spans="4:10" ht="16.2" customHeight="1">
      <c r="D488" s="1"/>
      <c r="J488" s="1"/>
    </row>
    <row r="489" spans="4:10" ht="16.2" customHeight="1">
      <c r="D489" s="1"/>
      <c r="J489" s="1"/>
    </row>
    <row r="490" spans="4:10" ht="16.2" customHeight="1">
      <c r="D490" s="1"/>
      <c r="J490" s="1"/>
    </row>
    <row r="491" spans="4:10" ht="16.2" customHeight="1">
      <c r="D491" s="1"/>
      <c r="J491" s="1"/>
    </row>
    <row r="492" spans="4:10" ht="16.2" customHeight="1">
      <c r="D492" s="1"/>
      <c r="J492" s="1"/>
    </row>
    <row r="493" spans="4:10" ht="16.2" customHeight="1">
      <c r="D493" s="1"/>
      <c r="J493" s="1"/>
    </row>
    <row r="494" spans="4:10" ht="16.2" customHeight="1">
      <c r="D494" s="1"/>
      <c r="J494" s="1"/>
    </row>
    <row r="495" spans="4:10" ht="16.2" customHeight="1">
      <c r="D495" s="1"/>
      <c r="J495" s="1"/>
    </row>
    <row r="496" spans="4:10" ht="16.2" customHeight="1">
      <c r="D496" s="1"/>
      <c r="J496" s="1"/>
    </row>
    <row r="497" spans="4:10" ht="16.2" customHeight="1">
      <c r="D497" s="1"/>
      <c r="J497" s="1"/>
    </row>
    <row r="498" spans="4:10" ht="16.2" customHeight="1">
      <c r="D498" s="1"/>
      <c r="J498" s="1"/>
    </row>
    <row r="499" spans="4:10" ht="16.2" customHeight="1">
      <c r="D499" s="1"/>
      <c r="J499" s="1"/>
    </row>
    <row r="500" spans="4:10" ht="16.2" customHeight="1">
      <c r="D500" s="1"/>
      <c r="J500" s="1"/>
    </row>
    <row r="501" spans="4:10" ht="16.2" customHeight="1">
      <c r="D501" s="1"/>
      <c r="J501" s="1"/>
    </row>
    <row r="502" spans="4:10" ht="16.2" customHeight="1">
      <c r="D502" s="1"/>
      <c r="J502" s="1"/>
    </row>
    <row r="503" spans="4:10" ht="16.2" customHeight="1">
      <c r="D503" s="1"/>
      <c r="J503" s="1"/>
    </row>
    <row r="504" spans="4:10" ht="16.2" customHeight="1">
      <c r="D504" s="1"/>
      <c r="J504" s="1"/>
    </row>
    <row r="505" spans="4:10" ht="16.2" customHeight="1">
      <c r="D505" s="1"/>
      <c r="J505" s="1"/>
    </row>
    <row r="506" spans="4:10" ht="16.2" customHeight="1">
      <c r="D506" s="1"/>
      <c r="J506" s="1"/>
    </row>
    <row r="507" spans="4:10" ht="16.2" customHeight="1">
      <c r="D507" s="1"/>
      <c r="J507" s="1"/>
    </row>
    <row r="508" spans="4:10" ht="16.2" customHeight="1">
      <c r="D508" s="1"/>
      <c r="J508" s="1"/>
    </row>
    <row r="509" spans="4:10" ht="16.2" customHeight="1">
      <c r="D509" s="1"/>
      <c r="J509" s="1"/>
    </row>
    <row r="510" spans="4:10" ht="16.2" customHeight="1">
      <c r="D510" s="1"/>
      <c r="J510" s="1"/>
    </row>
    <row r="511" spans="4:10" ht="16.2" customHeight="1">
      <c r="D511" s="1"/>
      <c r="J511" s="1"/>
    </row>
    <row r="512" spans="4:10" ht="16.2" customHeight="1">
      <c r="D512" s="1"/>
      <c r="J512" s="1"/>
    </row>
    <row r="513" spans="4:10" ht="16.2" customHeight="1">
      <c r="D513" s="1"/>
      <c r="J513" s="1"/>
    </row>
    <row r="514" spans="4:10" ht="16.2" customHeight="1">
      <c r="D514" s="1"/>
      <c r="J514" s="1"/>
    </row>
    <row r="515" spans="4:10" ht="16.2" customHeight="1">
      <c r="D515" s="1"/>
      <c r="J515" s="1"/>
    </row>
    <row r="516" spans="4:10" ht="16.2" customHeight="1">
      <c r="D516" s="1"/>
      <c r="J516" s="1"/>
    </row>
    <row r="517" spans="4:10" ht="16.2" customHeight="1">
      <c r="D517" s="1"/>
      <c r="J517" s="1"/>
    </row>
    <row r="518" spans="4:10" ht="16.2" customHeight="1">
      <c r="D518" s="1"/>
      <c r="J518" s="1"/>
    </row>
    <row r="519" spans="4:10" ht="16.2" customHeight="1">
      <c r="D519" s="1"/>
      <c r="J519" s="1"/>
    </row>
    <row r="520" spans="4:10" ht="16.2" customHeight="1">
      <c r="D520" s="1"/>
      <c r="J520" s="1"/>
    </row>
    <row r="521" spans="4:10" ht="16.2" customHeight="1">
      <c r="D521" s="1"/>
      <c r="J521" s="1"/>
    </row>
    <row r="522" spans="4:10" ht="16.2" customHeight="1">
      <c r="D522" s="1"/>
      <c r="J522" s="1"/>
    </row>
    <row r="523" spans="4:10" ht="16.2" customHeight="1">
      <c r="D523" s="1"/>
      <c r="J523" s="1"/>
    </row>
    <row r="524" spans="4:10" ht="16.2" customHeight="1">
      <c r="D524" s="1"/>
      <c r="J524" s="1"/>
    </row>
  </sheetData>
  <sheetProtection formatCells="0"/>
  <mergeCells count="14">
    <mergeCell ref="C2:F3"/>
    <mergeCell ref="D5:L6"/>
    <mergeCell ref="W5:X5"/>
    <mergeCell ref="P5:V6"/>
    <mergeCell ref="AA5:AC6"/>
    <mergeCell ref="D7:L8"/>
    <mergeCell ref="C10:F10"/>
    <mergeCell ref="I10:L10"/>
    <mergeCell ref="AA10:AD10"/>
    <mergeCell ref="W7:X7"/>
    <mergeCell ref="O10:R10"/>
    <mergeCell ref="U10:X10"/>
    <mergeCell ref="P7:Q8"/>
    <mergeCell ref="AA7:AE8"/>
  </mergeCells>
  <phoneticPr fontId="2"/>
  <conditionalFormatting sqref="F13 L13:L14 R13:R14 X13:X17 F21 L21:L22 R21:R22 X21:X23 F27:F28 L27:L29 R27:R29 X27:X30 AD27">
    <cfRule type="cellIs" dxfId="13" priority="1" operator="greaterThan">
      <formula>D13</formula>
    </cfRule>
  </conditionalFormatting>
  <hyperlinks>
    <hyperlink ref="C2:F3" location="提案表紙!A1" display="大阪府折込資料表" xr:uid="{00000000-0004-0000-1F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&amp;L泉南市・阪南市・泉南郡&amp;RP-28/34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0">
    <tabColor rgb="FFB6D2F5"/>
    <pageSetUpPr fitToPage="1"/>
  </sheetPr>
  <dimension ref="A1:AF124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7.4414062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5" width="8.6640625" hidden="1" customWidth="1"/>
    <col min="16" max="16" width="13.6640625" customWidth="1"/>
    <col min="17" max="17" width="6.77734375" customWidth="1"/>
    <col min="18" max="18" width="3.33203125" customWidth="1"/>
    <col min="19" max="19" width="8.77734375" customWidth="1"/>
    <col min="20" max="21" width="8.6640625" hidden="1" customWidth="1"/>
    <col min="22" max="22" width="13.6640625" customWidth="1"/>
    <col min="23" max="23" width="6.77734375" customWidth="1"/>
    <col min="24" max="24" width="3.33203125" customWidth="1"/>
    <col min="25" max="25" width="8.77734375" customWidth="1"/>
    <col min="26" max="27" width="8.6640625" hidden="1" customWidth="1"/>
    <col min="28" max="28" width="13.33203125" customWidth="1"/>
    <col min="29" max="29" width="6.77734375" customWidth="1"/>
    <col min="30" max="30" width="3.33203125" customWidth="1"/>
    <col min="31" max="31" width="8.77734375" customWidth="1"/>
    <col min="32" max="32" width="9.33203125" customWidth="1"/>
  </cols>
  <sheetData>
    <row r="1" spans="1:32" ht="13.2" hidden="1">
      <c r="A1" s="338" t="s">
        <v>1369</v>
      </c>
      <c r="B1" s="51" t="s">
        <v>1370</v>
      </c>
      <c r="C1" s="22"/>
      <c r="F1" s="51" t="s">
        <v>301</v>
      </c>
      <c r="G1" s="338" t="s">
        <v>1369</v>
      </c>
      <c r="H1" s="51" t="s">
        <v>1370</v>
      </c>
      <c r="L1" s="51" t="s">
        <v>301</v>
      </c>
      <c r="M1" s="338" t="s">
        <v>1369</v>
      </c>
      <c r="N1" s="338"/>
      <c r="O1" s="51" t="s">
        <v>1370</v>
      </c>
      <c r="P1" s="18"/>
      <c r="S1" s="51" t="s">
        <v>301</v>
      </c>
      <c r="T1" s="338" t="s">
        <v>1369</v>
      </c>
      <c r="U1" s="51" t="s">
        <v>1370</v>
      </c>
      <c r="V1" s="18"/>
      <c r="Y1" s="51" t="s">
        <v>301</v>
      </c>
      <c r="Z1" s="338" t="s">
        <v>1369</v>
      </c>
      <c r="AA1" s="51" t="s">
        <v>1370</v>
      </c>
      <c r="AB1" s="18"/>
      <c r="AE1" s="51" t="s">
        <v>301</v>
      </c>
    </row>
    <row r="2" spans="1:32" ht="13.5" customHeight="1">
      <c r="C2" s="835" t="s">
        <v>1340</v>
      </c>
      <c r="D2" s="835"/>
      <c r="E2" s="835"/>
      <c r="F2" s="835"/>
      <c r="G2" s="460"/>
      <c r="H2" s="460"/>
      <c r="S2" s="51"/>
      <c r="W2" s="500"/>
      <c r="X2" s="500"/>
      <c r="Y2" s="500" t="s">
        <v>1313</v>
      </c>
    </row>
    <row r="3" spans="1:32" ht="13.5" customHeight="1">
      <c r="C3" s="835"/>
      <c r="D3" s="835"/>
      <c r="E3" s="835"/>
      <c r="F3" s="835"/>
      <c r="G3" s="460"/>
      <c r="H3" s="460"/>
      <c r="I3" s="114" t="s">
        <v>270</v>
      </c>
      <c r="S3" s="51"/>
      <c r="W3" s="500"/>
      <c r="X3" s="500"/>
      <c r="Y3" s="500" t="s">
        <v>1501</v>
      </c>
    </row>
    <row r="4" spans="1:32" ht="13.5" customHeight="1">
      <c r="C4" t="s">
        <v>256</v>
      </c>
      <c r="I4" s="187">
        <v>45627</v>
      </c>
      <c r="J4" s="186" t="s">
        <v>0</v>
      </c>
      <c r="K4" t="s">
        <v>257</v>
      </c>
      <c r="S4" s="51"/>
      <c r="W4" s="500"/>
      <c r="X4" s="500"/>
      <c r="Y4" s="500" t="s">
        <v>1500</v>
      </c>
    </row>
    <row r="5" spans="1:32" ht="13.2" customHeight="1">
      <c r="C5" s="7" t="s">
        <v>258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461"/>
      <c r="P5" s="7" t="s">
        <v>233</v>
      </c>
      <c r="Q5" s="836">
        <f>提案表紙!E9</f>
        <v>0</v>
      </c>
      <c r="R5" s="836"/>
      <c r="S5" s="836"/>
      <c r="T5" s="836"/>
      <c r="U5" s="836"/>
      <c r="V5" s="836"/>
      <c r="W5" s="837"/>
      <c r="X5" s="821" t="s">
        <v>259</v>
      </c>
      <c r="Y5" s="822"/>
      <c r="Z5" s="459"/>
      <c r="AA5" s="459"/>
      <c r="AB5" s="840"/>
      <c r="AC5" s="840"/>
      <c r="AD5" s="841"/>
      <c r="AE5" s="6" t="s">
        <v>260</v>
      </c>
      <c r="AF5" s="6" t="s">
        <v>260</v>
      </c>
    </row>
    <row r="6" spans="1:32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461"/>
      <c r="P6" s="9"/>
      <c r="Q6" s="838"/>
      <c r="R6" s="838"/>
      <c r="S6" s="838"/>
      <c r="T6" s="838"/>
      <c r="U6" s="838"/>
      <c r="V6" s="838"/>
      <c r="W6" s="839"/>
      <c r="X6" s="9"/>
      <c r="Y6" s="11"/>
      <c r="Z6" s="11"/>
      <c r="AA6" s="11"/>
      <c r="AB6" s="842"/>
      <c r="AC6" s="842"/>
      <c r="AD6" s="843"/>
      <c r="AE6" s="409"/>
      <c r="AF6" s="409"/>
    </row>
    <row r="7" spans="1:32" ht="13.2" customHeight="1">
      <c r="C7" s="7" t="s">
        <v>261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461"/>
      <c r="P7" s="7" t="s">
        <v>298</v>
      </c>
      <c r="Q7" s="827">
        <f>提案表紙!G9</f>
        <v>0</v>
      </c>
      <c r="R7" s="828"/>
      <c r="S7" s="7" t="s">
        <v>262</v>
      </c>
      <c r="V7" s="410">
        <f>AF44</f>
        <v>0</v>
      </c>
      <c r="W7" s="8"/>
      <c r="X7" s="821" t="s">
        <v>263</v>
      </c>
      <c r="Y7" s="822"/>
      <c r="Z7" s="459"/>
      <c r="AA7" s="459"/>
      <c r="AB7" s="831"/>
      <c r="AC7" s="831"/>
      <c r="AD7" s="831"/>
      <c r="AE7" s="831"/>
      <c r="AF7" s="832"/>
    </row>
    <row r="8" spans="1:32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461"/>
      <c r="P8" s="207"/>
      <c r="Q8" s="829"/>
      <c r="R8" s="830"/>
      <c r="S8" s="9" t="s">
        <v>264</v>
      </c>
      <c r="T8" s="11"/>
      <c r="U8" s="11"/>
      <c r="V8" s="410">
        <f>提案表紙!I9</f>
        <v>0</v>
      </c>
      <c r="W8" s="89"/>
      <c r="X8" s="9"/>
      <c r="Y8" s="11"/>
      <c r="Z8" s="11"/>
      <c r="AA8" s="11"/>
      <c r="AB8" s="833"/>
      <c r="AC8" s="833"/>
      <c r="AD8" s="833"/>
      <c r="AE8" s="833"/>
      <c r="AF8" s="834"/>
    </row>
    <row r="9" spans="1:32" ht="13.2" customHeight="1"/>
    <row r="10" spans="1:32" ht="16.2" customHeight="1">
      <c r="A10" s="51">
        <v>1</v>
      </c>
      <c r="B10" s="51">
        <v>6</v>
      </c>
      <c r="C10" s="818" t="s">
        <v>596</v>
      </c>
      <c r="D10" s="819"/>
      <c r="E10" s="819"/>
      <c r="F10" s="820"/>
      <c r="G10" s="51">
        <v>1</v>
      </c>
      <c r="H10" s="51">
        <v>6</v>
      </c>
      <c r="I10" s="818" t="s">
        <v>596</v>
      </c>
      <c r="J10" s="819"/>
      <c r="K10" s="819"/>
      <c r="L10" s="820"/>
      <c r="M10" s="51">
        <v>1</v>
      </c>
      <c r="N10" s="51"/>
      <c r="O10" s="51">
        <v>6</v>
      </c>
      <c r="P10" s="818" t="s">
        <v>596</v>
      </c>
      <c r="Q10" s="819"/>
      <c r="R10" s="819"/>
      <c r="S10" s="820"/>
      <c r="T10" s="51">
        <v>1</v>
      </c>
      <c r="U10" s="51">
        <v>6</v>
      </c>
      <c r="V10" s="818" t="s">
        <v>596</v>
      </c>
      <c r="W10" s="819"/>
      <c r="X10" s="819"/>
      <c r="Y10" s="820"/>
      <c r="Z10" s="51">
        <v>1</v>
      </c>
      <c r="AA10" s="51">
        <v>6</v>
      </c>
      <c r="AB10" s="818" t="s">
        <v>596</v>
      </c>
      <c r="AC10" s="819"/>
      <c r="AD10" s="819"/>
      <c r="AE10" s="820"/>
      <c r="AF10" s="502" t="s">
        <v>265</v>
      </c>
    </row>
    <row r="11" spans="1:32" ht="16.2" customHeight="1">
      <c r="A11" s="51"/>
      <c r="B11" s="51"/>
      <c r="C11" s="503" t="s">
        <v>266</v>
      </c>
      <c r="D11" s="504" t="s">
        <v>267</v>
      </c>
      <c r="E11" s="319" t="s">
        <v>268</v>
      </c>
      <c r="F11" s="505" t="s">
        <v>236</v>
      </c>
      <c r="G11" s="51"/>
      <c r="H11" s="51"/>
      <c r="I11" s="503" t="s">
        <v>266</v>
      </c>
      <c r="J11" s="504" t="s">
        <v>267</v>
      </c>
      <c r="K11" s="319" t="s">
        <v>268</v>
      </c>
      <c r="L11" s="505" t="s">
        <v>236</v>
      </c>
      <c r="M11" s="51"/>
      <c r="N11" s="51"/>
      <c r="O11" s="51"/>
      <c r="P11" s="503" t="s">
        <v>266</v>
      </c>
      <c r="Q11" s="504" t="s">
        <v>267</v>
      </c>
      <c r="R11" s="319" t="s">
        <v>268</v>
      </c>
      <c r="S11" s="505" t="s">
        <v>236</v>
      </c>
      <c r="T11" s="51"/>
      <c r="U11" s="51"/>
      <c r="V11" s="503" t="s">
        <v>266</v>
      </c>
      <c r="W11" s="504" t="s">
        <v>267</v>
      </c>
      <c r="X11" s="319" t="s">
        <v>268</v>
      </c>
      <c r="Y11" s="505" t="s">
        <v>236</v>
      </c>
      <c r="Z11" s="51"/>
      <c r="AA11" s="51"/>
      <c r="AB11" s="503" t="s">
        <v>266</v>
      </c>
      <c r="AC11" s="504" t="s">
        <v>267</v>
      </c>
      <c r="AD11" s="319" t="s">
        <v>268</v>
      </c>
      <c r="AE11" s="505" t="s">
        <v>236</v>
      </c>
      <c r="AF11" s="507" t="s">
        <v>269</v>
      </c>
    </row>
    <row r="12" spans="1:32" ht="16.2" customHeight="1">
      <c r="A12" s="51"/>
      <c r="B12" s="51"/>
      <c r="C12" s="45"/>
      <c r="D12" s="33" ph="1"/>
      <c r="E12" s="24"/>
      <c r="F12" s="506"/>
      <c r="G12" s="51"/>
      <c r="H12" s="51"/>
      <c r="I12" s="508"/>
      <c r="J12" s="509"/>
      <c r="K12" s="23"/>
      <c r="L12" s="509"/>
      <c r="M12" s="51"/>
      <c r="N12" s="51"/>
      <c r="O12" s="51"/>
      <c r="P12" s="508"/>
      <c r="Q12" s="509"/>
      <c r="R12" s="23"/>
      <c r="S12" s="509"/>
      <c r="T12" s="51"/>
      <c r="U12" s="51"/>
      <c r="V12" s="508"/>
      <c r="W12" s="509"/>
      <c r="X12" s="23"/>
      <c r="Y12" s="509"/>
      <c r="Z12" s="51"/>
      <c r="AA12" s="51"/>
      <c r="AB12" s="18"/>
      <c r="AC12" s="506"/>
      <c r="AD12" s="24"/>
      <c r="AE12" s="506"/>
      <c r="AF12" s="509"/>
    </row>
    <row r="13" spans="1:32" ht="16.2" customHeight="1">
      <c r="A13" s="51">
        <v>2</v>
      </c>
      <c r="B13" s="488" t="s">
        <v>1385</v>
      </c>
      <c r="C13" s="852" t="s">
        <v>918</v>
      </c>
      <c r="D13" s="853"/>
      <c r="E13" s="853"/>
      <c r="F13" s="854"/>
      <c r="G13" s="51">
        <v>2</v>
      </c>
      <c r="H13" s="488" t="s">
        <v>1453</v>
      </c>
      <c r="I13" s="849" t="s">
        <v>1226</v>
      </c>
      <c r="J13" s="850"/>
      <c r="K13" s="850"/>
      <c r="L13" s="851"/>
      <c r="M13" s="51">
        <v>2</v>
      </c>
      <c r="N13" s="51"/>
      <c r="O13" s="488" t="s">
        <v>1391</v>
      </c>
      <c r="P13" s="852" t="s">
        <v>435</v>
      </c>
      <c r="Q13" s="853"/>
      <c r="R13" s="853"/>
      <c r="S13" s="854"/>
      <c r="T13" s="51">
        <v>2</v>
      </c>
      <c r="U13" s="488" t="s">
        <v>1395</v>
      </c>
      <c r="V13" s="852" t="s">
        <v>458</v>
      </c>
      <c r="W13" s="853"/>
      <c r="X13" s="853"/>
      <c r="Y13" s="854"/>
      <c r="Z13" s="51">
        <v>2</v>
      </c>
      <c r="AA13" s="488" t="s">
        <v>1398</v>
      </c>
      <c r="AB13" s="852" t="s">
        <v>201</v>
      </c>
      <c r="AC13" s="853"/>
      <c r="AD13" s="853"/>
      <c r="AE13" s="854"/>
      <c r="AF13" s="513"/>
    </row>
    <row r="14" spans="1:32" ht="16.2" customHeight="1">
      <c r="A14" s="51">
        <v>3</v>
      </c>
      <c r="B14" s="51">
        <v>76001</v>
      </c>
      <c r="C14" s="632" t="s">
        <v>219</v>
      </c>
      <c r="D14" s="148">
        <v>2500</v>
      </c>
      <c r="E14" s="130"/>
      <c r="F14" s="404"/>
      <c r="G14" s="51">
        <v>3</v>
      </c>
      <c r="H14" s="51">
        <v>76041</v>
      </c>
      <c r="I14" s="450" t="s">
        <v>427</v>
      </c>
      <c r="J14" s="352">
        <v>100</v>
      </c>
      <c r="K14" s="588"/>
      <c r="L14" s="404"/>
      <c r="M14" s="51">
        <v>3</v>
      </c>
      <c r="N14" s="51"/>
      <c r="O14" s="51">
        <v>76073</v>
      </c>
      <c r="P14" s="393" t="s">
        <v>1373</v>
      </c>
      <c r="Q14" s="143">
        <v>100</v>
      </c>
      <c r="R14" s="543"/>
      <c r="S14" s="404"/>
      <c r="T14" s="51">
        <v>3</v>
      </c>
      <c r="U14" s="51">
        <v>76107</v>
      </c>
      <c r="V14" s="491" t="s">
        <v>1283</v>
      </c>
      <c r="W14" s="582">
        <v>350</v>
      </c>
      <c r="X14" s="511"/>
      <c r="Y14" s="404"/>
      <c r="Z14" s="51">
        <v>3</v>
      </c>
      <c r="AA14" s="51">
        <v>76131</v>
      </c>
      <c r="AB14" s="450" t="s">
        <v>1615</v>
      </c>
      <c r="AC14" s="143">
        <v>450</v>
      </c>
      <c r="AD14" s="135"/>
      <c r="AE14" s="404"/>
      <c r="AF14" s="516"/>
    </row>
    <row r="15" spans="1:32" ht="16.2" customHeight="1">
      <c r="A15" s="51">
        <v>3</v>
      </c>
      <c r="B15" s="51">
        <v>76003</v>
      </c>
      <c r="C15" s="491" t="s">
        <v>220</v>
      </c>
      <c r="D15" s="143">
        <v>1750</v>
      </c>
      <c r="E15" s="135"/>
      <c r="F15" s="405"/>
      <c r="G15" s="51">
        <v>3</v>
      </c>
      <c r="H15" s="51">
        <v>76043</v>
      </c>
      <c r="I15" s="491" t="s">
        <v>1481</v>
      </c>
      <c r="J15" s="143">
        <v>400</v>
      </c>
      <c r="K15" s="573"/>
      <c r="L15" s="405"/>
      <c r="M15" s="51">
        <v>3</v>
      </c>
      <c r="N15" s="51"/>
      <c r="O15" s="51">
        <v>76075</v>
      </c>
      <c r="P15" s="491" t="s">
        <v>436</v>
      </c>
      <c r="Q15" s="143">
        <v>650</v>
      </c>
      <c r="R15" s="515"/>
      <c r="S15" s="405"/>
      <c r="T15" s="51">
        <v>3</v>
      </c>
      <c r="U15" s="51">
        <v>76109</v>
      </c>
      <c r="V15" s="393" t="s">
        <v>1085</v>
      </c>
      <c r="W15" s="143">
        <v>150</v>
      </c>
      <c r="X15" s="519"/>
      <c r="Y15" s="405"/>
      <c r="Z15" s="51">
        <v>3</v>
      </c>
      <c r="AA15" s="51">
        <v>76133</v>
      </c>
      <c r="AB15" s="450" t="s">
        <v>1137</v>
      </c>
      <c r="AC15" s="143">
        <v>50</v>
      </c>
      <c r="AD15" s="131"/>
      <c r="AE15" s="405"/>
      <c r="AF15" s="516"/>
    </row>
    <row r="16" spans="1:32" ht="16.2" customHeight="1">
      <c r="A16" s="51">
        <v>3</v>
      </c>
      <c r="B16" s="51">
        <v>76005</v>
      </c>
      <c r="C16" s="450" t="s">
        <v>919</v>
      </c>
      <c r="D16" s="352">
        <v>1800</v>
      </c>
      <c r="E16" s="131"/>
      <c r="F16" s="405"/>
      <c r="G16" s="51">
        <v>3</v>
      </c>
      <c r="H16" s="51">
        <v>76047</v>
      </c>
      <c r="I16" s="491" t="s">
        <v>1312</v>
      </c>
      <c r="J16" s="143">
        <v>200</v>
      </c>
      <c r="K16" s="515"/>
      <c r="L16" s="405"/>
      <c r="M16" s="51">
        <v>3</v>
      </c>
      <c r="N16" s="51"/>
      <c r="O16" s="51">
        <v>76077</v>
      </c>
      <c r="P16" s="442" t="s">
        <v>437</v>
      </c>
      <c r="Q16" s="143">
        <v>400</v>
      </c>
      <c r="R16" s="515"/>
      <c r="S16" s="405"/>
      <c r="T16" s="51">
        <v>3</v>
      </c>
      <c r="U16" s="51">
        <v>76111</v>
      </c>
      <c r="V16" s="393" t="s">
        <v>451</v>
      </c>
      <c r="W16" s="143">
        <v>250</v>
      </c>
      <c r="X16" s="131"/>
      <c r="Y16" s="405"/>
      <c r="Z16" s="51">
        <v>3</v>
      </c>
      <c r="AA16" s="51">
        <v>76135</v>
      </c>
      <c r="AB16" s="450" t="s">
        <v>202</v>
      </c>
      <c r="AC16" s="143">
        <v>950</v>
      </c>
      <c r="AD16" s="634"/>
      <c r="AE16" s="405"/>
      <c r="AF16" s="516"/>
    </row>
    <row r="17" spans="1:32" ht="16.2" customHeight="1">
      <c r="A17" s="51">
        <v>3</v>
      </c>
      <c r="B17" s="51">
        <v>76007</v>
      </c>
      <c r="C17" s="457" t="s">
        <v>920</v>
      </c>
      <c r="D17" s="353">
        <v>1650</v>
      </c>
      <c r="E17" s="515"/>
      <c r="F17" s="405"/>
      <c r="G17" s="51">
        <v>3</v>
      </c>
      <c r="H17" s="51">
        <v>76049</v>
      </c>
      <c r="I17" s="491" t="s">
        <v>727</v>
      </c>
      <c r="J17" s="143">
        <v>50</v>
      </c>
      <c r="K17" s="585"/>
      <c r="L17" s="405"/>
      <c r="M17" s="51">
        <v>3</v>
      </c>
      <c r="N17" s="51"/>
      <c r="O17" s="51">
        <v>76079</v>
      </c>
      <c r="P17" s="640" t="s">
        <v>440</v>
      </c>
      <c r="Q17" s="352">
        <v>500</v>
      </c>
      <c r="R17" s="515"/>
      <c r="S17" s="405"/>
      <c r="T17" s="51">
        <v>3</v>
      </c>
      <c r="U17" s="51">
        <v>76113</v>
      </c>
      <c r="V17" s="587" t="s">
        <v>728</v>
      </c>
      <c r="W17" s="353">
        <v>200</v>
      </c>
      <c r="X17" s="131"/>
      <c r="Y17" s="405"/>
      <c r="Z17" s="51">
        <v>3</v>
      </c>
      <c r="AA17" s="51">
        <v>76137</v>
      </c>
      <c r="AB17" s="443" t="s">
        <v>1292</v>
      </c>
      <c r="AC17" s="143">
        <v>400</v>
      </c>
      <c r="AD17" s="634"/>
      <c r="AE17" s="405"/>
      <c r="AF17" s="516"/>
    </row>
    <row r="18" spans="1:32" ht="16.2" customHeight="1" thickBot="1">
      <c r="A18" s="51">
        <v>3</v>
      </c>
      <c r="B18" s="51"/>
      <c r="C18" s="593"/>
      <c r="D18" s="209"/>
      <c r="E18" s="556"/>
      <c r="F18" s="182"/>
      <c r="G18" s="51">
        <v>3</v>
      </c>
      <c r="H18" s="51">
        <v>76051</v>
      </c>
      <c r="I18" s="491" t="s">
        <v>428</v>
      </c>
      <c r="J18" s="143">
        <v>100</v>
      </c>
      <c r="K18" s="515"/>
      <c r="L18" s="405"/>
      <c r="M18" s="51">
        <v>3</v>
      </c>
      <c r="N18" s="51"/>
      <c r="O18" s="51"/>
      <c r="P18" s="618"/>
      <c r="Q18" s="139"/>
      <c r="R18" s="515"/>
      <c r="S18" s="132"/>
      <c r="T18" s="51">
        <v>3</v>
      </c>
      <c r="U18" s="51"/>
      <c r="V18" s="587"/>
      <c r="W18" s="353"/>
      <c r="X18" s="135"/>
      <c r="Y18" s="405"/>
      <c r="Z18" s="51">
        <v>3</v>
      </c>
      <c r="AA18" s="673">
        <v>76139</v>
      </c>
      <c r="AB18" s="450" t="s">
        <v>1358</v>
      </c>
      <c r="AC18" s="143">
        <v>50</v>
      </c>
      <c r="AD18" s="596"/>
      <c r="AE18" s="405"/>
      <c r="AF18" s="516"/>
    </row>
    <row r="19" spans="1:32" ht="16.2" customHeight="1" thickTop="1" thickBot="1">
      <c r="A19" s="51">
        <v>4</v>
      </c>
      <c r="B19" s="51"/>
      <c r="C19" s="551" t="s">
        <v>918</v>
      </c>
      <c r="D19" s="301">
        <f>SUM(D14:D18)</f>
        <v>7700</v>
      </c>
      <c r="E19" s="564"/>
      <c r="F19" s="308">
        <f>SUM(F14:F18)</f>
        <v>0</v>
      </c>
      <c r="G19" s="51">
        <v>3</v>
      </c>
      <c r="H19" s="51">
        <v>76053</v>
      </c>
      <c r="I19" s="775" t="s">
        <v>1624</v>
      </c>
      <c r="J19" s="143">
        <v>150</v>
      </c>
      <c r="K19" s="515"/>
      <c r="L19" s="405"/>
      <c r="M19" s="51">
        <v>4</v>
      </c>
      <c r="N19" s="51"/>
      <c r="O19" s="51"/>
      <c r="P19" s="551" t="s">
        <v>441</v>
      </c>
      <c r="Q19" s="301">
        <f>SUM(Q14:Q18)</f>
        <v>1650</v>
      </c>
      <c r="R19" s="579"/>
      <c r="S19" s="308">
        <f>SUM(S14:S18)</f>
        <v>0</v>
      </c>
      <c r="T19" s="51">
        <v>3</v>
      </c>
      <c r="U19" s="673"/>
      <c r="V19" s="675"/>
      <c r="W19" s="556"/>
      <c r="X19" s="556"/>
      <c r="Y19" s="182"/>
      <c r="Z19" s="51">
        <v>3</v>
      </c>
      <c r="AA19" s="51">
        <v>76141</v>
      </c>
      <c r="AB19" s="681" t="s">
        <v>204</v>
      </c>
      <c r="AC19" s="139">
        <v>100</v>
      </c>
      <c r="AD19" s="573"/>
      <c r="AE19" s="132"/>
      <c r="AF19" s="516"/>
    </row>
    <row r="20" spans="1:32" ht="16.2" customHeight="1" thickTop="1" thickBot="1">
      <c r="A20" s="51">
        <v>2</v>
      </c>
      <c r="B20" s="488" t="s">
        <v>1452</v>
      </c>
      <c r="C20" s="849" t="s">
        <v>921</v>
      </c>
      <c r="D20" s="850"/>
      <c r="E20" s="850"/>
      <c r="F20" s="851"/>
      <c r="G20" s="51">
        <v>3</v>
      </c>
      <c r="H20" s="51">
        <v>76055</v>
      </c>
      <c r="I20" s="491" t="s">
        <v>429</v>
      </c>
      <c r="J20" s="351">
        <v>100</v>
      </c>
      <c r="K20" s="515"/>
      <c r="L20" s="405"/>
      <c r="M20" s="51">
        <v>2</v>
      </c>
      <c r="N20" s="51"/>
      <c r="O20" s="488" t="s">
        <v>1392</v>
      </c>
      <c r="P20" s="855" t="s">
        <v>442</v>
      </c>
      <c r="Q20" s="856"/>
      <c r="R20" s="856"/>
      <c r="S20" s="857"/>
      <c r="T20" s="51">
        <v>4</v>
      </c>
      <c r="U20" s="51"/>
      <c r="V20" s="617" t="s">
        <v>459</v>
      </c>
      <c r="W20" s="676">
        <f>SUM(W14:W19)</f>
        <v>950</v>
      </c>
      <c r="X20" s="304"/>
      <c r="Y20" s="310">
        <f>SUM(Y14:Y19)</f>
        <v>0</v>
      </c>
      <c r="Z20" s="51">
        <v>3</v>
      </c>
      <c r="AA20" s="51"/>
      <c r="AB20" s="561"/>
      <c r="AC20" s="515"/>
      <c r="AD20" s="515"/>
      <c r="AE20" s="163"/>
      <c r="AF20" s="516"/>
    </row>
    <row r="21" spans="1:32" ht="16.2" customHeight="1" thickTop="1" thickBot="1">
      <c r="A21" s="51">
        <v>3</v>
      </c>
      <c r="B21" s="51">
        <v>76013</v>
      </c>
      <c r="C21" s="677" t="s">
        <v>47</v>
      </c>
      <c r="D21" s="678">
        <v>2700</v>
      </c>
      <c r="E21" s="511"/>
      <c r="F21" s="404"/>
      <c r="G21" s="51">
        <v>3</v>
      </c>
      <c r="H21" s="51">
        <v>76057</v>
      </c>
      <c r="I21" s="393" t="s">
        <v>553</v>
      </c>
      <c r="J21" s="446" t="s">
        <v>1623</v>
      </c>
      <c r="K21" s="515"/>
      <c r="L21" s="405"/>
      <c r="M21" s="51">
        <v>3</v>
      </c>
      <c r="N21" s="51"/>
      <c r="O21" s="51">
        <v>76081</v>
      </c>
      <c r="P21" s="448" t="s">
        <v>1215</v>
      </c>
      <c r="Q21" s="353">
        <v>50</v>
      </c>
      <c r="R21" s="519"/>
      <c r="S21" s="404"/>
      <c r="T21" s="51">
        <v>2</v>
      </c>
      <c r="U21" s="488" t="s">
        <v>1396</v>
      </c>
      <c r="V21" s="855" t="s">
        <v>461</v>
      </c>
      <c r="W21" s="856"/>
      <c r="X21" s="856"/>
      <c r="Y21" s="857"/>
      <c r="Z21" s="51">
        <v>3</v>
      </c>
      <c r="AA21" s="51"/>
      <c r="AB21" s="766"/>
      <c r="AC21" s="767"/>
      <c r="AD21" s="767"/>
      <c r="AE21" s="768"/>
      <c r="AF21" s="516"/>
    </row>
    <row r="22" spans="1:32" ht="16.2" customHeight="1" thickTop="1" thickBot="1">
      <c r="A22" s="51">
        <v>3</v>
      </c>
      <c r="B22" s="51">
        <v>76012</v>
      </c>
      <c r="C22" s="491" t="s">
        <v>1476</v>
      </c>
      <c r="D22" s="143">
        <v>800</v>
      </c>
      <c r="E22" s="515"/>
      <c r="F22" s="405"/>
      <c r="G22" s="51">
        <v>3</v>
      </c>
      <c r="H22" s="51">
        <v>76059</v>
      </c>
      <c r="I22" s="393" t="s">
        <v>430</v>
      </c>
      <c r="J22" s="143">
        <v>50</v>
      </c>
      <c r="K22" s="515"/>
      <c r="L22" s="405"/>
      <c r="M22" s="51">
        <v>3</v>
      </c>
      <c r="N22" s="51"/>
      <c r="O22" s="51">
        <v>76083</v>
      </c>
      <c r="P22" s="448" t="s">
        <v>1382</v>
      </c>
      <c r="Q22" s="353">
        <v>900</v>
      </c>
      <c r="R22" s="515"/>
      <c r="S22" s="405"/>
      <c r="T22" s="51">
        <v>3</v>
      </c>
      <c r="U22" s="51">
        <v>76115</v>
      </c>
      <c r="V22" s="448" t="s">
        <v>203</v>
      </c>
      <c r="W22" s="148">
        <v>100</v>
      </c>
      <c r="X22" s="511"/>
      <c r="Y22" s="404"/>
      <c r="Z22" s="51">
        <v>4</v>
      </c>
      <c r="AA22" s="51"/>
      <c r="AB22" s="672" t="s">
        <v>205</v>
      </c>
      <c r="AC22" s="301">
        <f>SUM(AC14:AC21)</f>
        <v>2000</v>
      </c>
      <c r="AD22" s="589"/>
      <c r="AE22" s="308">
        <f>SUM(AE14:AE21)</f>
        <v>0</v>
      </c>
      <c r="AF22" s="516"/>
    </row>
    <row r="23" spans="1:32" ht="16.2" customHeight="1" thickTop="1">
      <c r="A23" s="51">
        <v>3</v>
      </c>
      <c r="B23" s="51">
        <v>76015</v>
      </c>
      <c r="C23" s="491" t="s">
        <v>922</v>
      </c>
      <c r="D23" s="149">
        <v>400</v>
      </c>
      <c r="E23" s="573"/>
      <c r="F23" s="405"/>
      <c r="G23" s="51">
        <v>3</v>
      </c>
      <c r="H23" s="51">
        <v>76061</v>
      </c>
      <c r="I23" s="393" t="s">
        <v>552</v>
      </c>
      <c r="J23" s="143">
        <v>50</v>
      </c>
      <c r="K23" s="515"/>
      <c r="L23" s="405"/>
      <c r="M23" s="51">
        <v>3</v>
      </c>
      <c r="N23" s="51"/>
      <c r="O23" s="51">
        <v>76085</v>
      </c>
      <c r="P23" s="491" t="s">
        <v>444</v>
      </c>
      <c r="Q23" s="597">
        <v>50</v>
      </c>
      <c r="R23" s="515"/>
      <c r="S23" s="405"/>
      <c r="T23" s="51">
        <v>3</v>
      </c>
      <c r="U23" s="51">
        <v>76117</v>
      </c>
      <c r="V23" s="393" t="s">
        <v>462</v>
      </c>
      <c r="W23" s="574">
        <v>150</v>
      </c>
      <c r="X23" s="515"/>
      <c r="Y23" s="405"/>
      <c r="Z23" s="51">
        <v>2</v>
      </c>
      <c r="AA23" s="488" t="s">
        <v>1399</v>
      </c>
      <c r="AB23" s="855" t="s">
        <v>206</v>
      </c>
      <c r="AC23" s="856"/>
      <c r="AD23" s="856"/>
      <c r="AE23" s="857"/>
      <c r="AF23" s="516"/>
    </row>
    <row r="24" spans="1:32" ht="16.2" customHeight="1" thickBot="1">
      <c r="A24" s="51">
        <v>3</v>
      </c>
      <c r="B24" s="51"/>
      <c r="C24" s="593"/>
      <c r="D24" s="556"/>
      <c r="E24" s="556"/>
      <c r="F24" s="182"/>
      <c r="G24" s="51">
        <v>3</v>
      </c>
      <c r="H24" s="51">
        <v>76063</v>
      </c>
      <c r="I24" s="393" t="s">
        <v>554</v>
      </c>
      <c r="J24" s="446" t="s">
        <v>1623</v>
      </c>
      <c r="K24" s="515"/>
      <c r="L24" s="405"/>
      <c r="M24" s="51">
        <v>3</v>
      </c>
      <c r="N24" s="51"/>
      <c r="O24" s="51">
        <v>76087</v>
      </c>
      <c r="P24" s="491" t="s">
        <v>445</v>
      </c>
      <c r="Q24" s="544">
        <v>300</v>
      </c>
      <c r="R24" s="515"/>
      <c r="S24" s="405"/>
      <c r="T24" s="51">
        <v>3</v>
      </c>
      <c r="U24" s="51">
        <v>76119</v>
      </c>
      <c r="V24" s="393" t="s">
        <v>463</v>
      </c>
      <c r="W24" s="645">
        <v>200</v>
      </c>
      <c r="X24" s="515"/>
      <c r="Y24" s="405"/>
      <c r="Z24" s="51">
        <v>3</v>
      </c>
      <c r="AA24" s="51">
        <v>76145</v>
      </c>
      <c r="AB24" s="491" t="s">
        <v>1493</v>
      </c>
      <c r="AC24" s="143">
        <v>200</v>
      </c>
      <c r="AD24" s="184"/>
      <c r="AE24" s="404"/>
      <c r="AF24" s="516"/>
    </row>
    <row r="25" spans="1:32" ht="16.2" customHeight="1" thickTop="1" thickBot="1">
      <c r="A25" s="51">
        <v>4</v>
      </c>
      <c r="B25" s="51"/>
      <c r="C25" s="551" t="s">
        <v>923</v>
      </c>
      <c r="D25" s="301">
        <f>SUM(D21:D24)</f>
        <v>3900</v>
      </c>
      <c r="E25" s="564"/>
      <c r="F25" s="308">
        <f>SUM(F21:F24)</f>
        <v>0</v>
      </c>
      <c r="G25" s="51">
        <v>3</v>
      </c>
      <c r="H25" s="51"/>
      <c r="I25" s="393"/>
      <c r="J25" s="143"/>
      <c r="K25" s="515"/>
      <c r="L25" s="405"/>
      <c r="M25" s="51">
        <v>3</v>
      </c>
      <c r="N25" s="51"/>
      <c r="O25" s="51">
        <v>76089</v>
      </c>
      <c r="P25" s="457" t="s">
        <v>1222</v>
      </c>
      <c r="Q25" s="353">
        <v>100</v>
      </c>
      <c r="R25" s="519"/>
      <c r="S25" s="405"/>
      <c r="T25" s="51">
        <v>3</v>
      </c>
      <c r="U25" s="51">
        <v>76121</v>
      </c>
      <c r="V25" s="491" t="s">
        <v>464</v>
      </c>
      <c r="W25" s="544">
        <v>50</v>
      </c>
      <c r="X25" s="519"/>
      <c r="Y25" s="405"/>
      <c r="Z25" s="51">
        <v>3</v>
      </c>
      <c r="AA25" s="673">
        <v>76147</v>
      </c>
      <c r="AB25" s="674" t="s">
        <v>755</v>
      </c>
      <c r="AC25" s="143">
        <v>50</v>
      </c>
      <c r="AD25" s="131"/>
      <c r="AE25" s="405"/>
      <c r="AF25" s="516"/>
    </row>
    <row r="26" spans="1:32" ht="16.2" customHeight="1" thickTop="1" thickBot="1">
      <c r="A26" s="51">
        <v>2</v>
      </c>
      <c r="B26" s="488" t="s">
        <v>1387</v>
      </c>
      <c r="C26" s="849" t="s">
        <v>924</v>
      </c>
      <c r="D26" s="860"/>
      <c r="E26" s="860"/>
      <c r="F26" s="861"/>
      <c r="G26" s="51">
        <v>3</v>
      </c>
      <c r="H26" s="51"/>
      <c r="I26" s="393"/>
      <c r="J26" s="143"/>
      <c r="K26" s="515"/>
      <c r="L26" s="405"/>
      <c r="M26" s="51">
        <v>3</v>
      </c>
      <c r="N26" s="51"/>
      <c r="O26" s="51"/>
      <c r="P26" s="491"/>
      <c r="Q26" s="679"/>
      <c r="R26" s="519"/>
      <c r="S26" s="465"/>
      <c r="T26" s="51">
        <v>3</v>
      </c>
      <c r="U26" s="51">
        <v>76123</v>
      </c>
      <c r="V26" s="491" t="s">
        <v>465</v>
      </c>
      <c r="W26" s="351">
        <v>50</v>
      </c>
      <c r="X26" s="515"/>
      <c r="Y26" s="405"/>
      <c r="Z26" s="51">
        <v>3</v>
      </c>
      <c r="AA26" s="51">
        <v>76149</v>
      </c>
      <c r="AB26" s="491" t="s">
        <v>207</v>
      </c>
      <c r="AC26" s="143">
        <v>50</v>
      </c>
      <c r="AD26" s="131"/>
      <c r="AE26" s="405"/>
      <c r="AF26" s="516"/>
    </row>
    <row r="27" spans="1:32" ht="16.2" customHeight="1" thickTop="1" thickBot="1">
      <c r="A27" s="51">
        <v>3</v>
      </c>
      <c r="B27" s="51">
        <v>76018</v>
      </c>
      <c r="C27" s="677" t="s">
        <v>1483</v>
      </c>
      <c r="D27" s="149">
        <v>300</v>
      </c>
      <c r="E27" s="511"/>
      <c r="F27" s="404"/>
      <c r="G27" s="51">
        <v>3</v>
      </c>
      <c r="H27" s="51"/>
      <c r="I27" s="491"/>
      <c r="J27" s="351"/>
      <c r="K27" s="515"/>
      <c r="L27" s="132"/>
      <c r="M27" s="51">
        <v>4</v>
      </c>
      <c r="N27" s="51"/>
      <c r="O27" s="51"/>
      <c r="P27" s="660" t="s">
        <v>446</v>
      </c>
      <c r="Q27" s="637">
        <f>SUM(Q21:Q26)</f>
        <v>1400</v>
      </c>
      <c r="R27" s="638"/>
      <c r="S27" s="397">
        <f>SUM(S21:S26)</f>
        <v>0</v>
      </c>
      <c r="T27" s="51">
        <v>3</v>
      </c>
      <c r="U27" s="51"/>
      <c r="V27" s="545"/>
      <c r="W27" s="214"/>
      <c r="X27" s="592"/>
      <c r="Y27" s="262"/>
      <c r="Z27" s="51">
        <v>3</v>
      </c>
      <c r="AA27" s="51">
        <v>76151</v>
      </c>
      <c r="AB27" s="491" t="s">
        <v>1122</v>
      </c>
      <c r="AC27" s="143">
        <v>50</v>
      </c>
      <c r="AD27" s="131"/>
      <c r="AE27" s="405"/>
      <c r="AF27" s="516"/>
    </row>
    <row r="28" spans="1:32" ht="16.2" customHeight="1" thickTop="1" thickBot="1">
      <c r="A28" s="51">
        <v>3</v>
      </c>
      <c r="B28" s="51">
        <v>76019</v>
      </c>
      <c r="C28" s="448" t="s">
        <v>925</v>
      </c>
      <c r="D28" s="353">
        <v>150</v>
      </c>
      <c r="E28" s="576"/>
      <c r="F28" s="133"/>
      <c r="G28" s="51">
        <v>3</v>
      </c>
      <c r="H28" s="51"/>
      <c r="I28" s="393"/>
      <c r="K28" s="515"/>
      <c r="L28" s="181"/>
      <c r="M28" s="51">
        <v>2</v>
      </c>
      <c r="N28" s="51"/>
      <c r="O28" s="488" t="s">
        <v>1393</v>
      </c>
      <c r="P28" s="855" t="s">
        <v>447</v>
      </c>
      <c r="Q28" s="856"/>
      <c r="R28" s="856"/>
      <c r="S28" s="857"/>
      <c r="T28" s="51">
        <v>3</v>
      </c>
      <c r="U28" s="673"/>
      <c r="V28" s="675"/>
      <c r="W28" s="556"/>
      <c r="X28" s="556"/>
      <c r="Y28" s="182"/>
      <c r="Z28" s="51">
        <v>3</v>
      </c>
      <c r="AA28" s="51">
        <v>76153</v>
      </c>
      <c r="AB28" s="491" t="s">
        <v>208</v>
      </c>
      <c r="AC28" s="143">
        <v>100</v>
      </c>
      <c r="AD28" s="131"/>
      <c r="AE28" s="405"/>
      <c r="AF28" s="516"/>
    </row>
    <row r="29" spans="1:32" ht="16.2" customHeight="1" thickTop="1" thickBot="1">
      <c r="A29" s="51">
        <v>3</v>
      </c>
      <c r="B29" s="51">
        <v>76021</v>
      </c>
      <c r="C29" s="491" t="s">
        <v>926</v>
      </c>
      <c r="D29" s="143">
        <v>200</v>
      </c>
      <c r="E29" s="515"/>
      <c r="F29" s="405"/>
      <c r="G29" s="51">
        <v>3</v>
      </c>
      <c r="H29" s="51"/>
      <c r="I29" s="393"/>
      <c r="J29" s="143"/>
      <c r="K29" s="515"/>
      <c r="L29" s="181"/>
      <c r="M29" s="51">
        <v>3</v>
      </c>
      <c r="N29" s="51"/>
      <c r="O29" s="51">
        <v>76093</v>
      </c>
      <c r="P29" s="450" t="s">
        <v>1571</v>
      </c>
      <c r="Q29" s="149">
        <v>500</v>
      </c>
      <c r="R29" s="515"/>
      <c r="S29" s="404"/>
      <c r="T29" s="51">
        <v>4</v>
      </c>
      <c r="U29" s="51"/>
      <c r="V29" s="551" t="s">
        <v>466</v>
      </c>
      <c r="W29" s="301">
        <f>SUM(W22:W28)</f>
        <v>550</v>
      </c>
      <c r="X29" s="579"/>
      <c r="Y29" s="308">
        <f>SUM(Y22:Y28)</f>
        <v>0</v>
      </c>
      <c r="Z29" s="51">
        <v>3</v>
      </c>
      <c r="AA29" s="51"/>
      <c r="AB29" s="491"/>
      <c r="AC29" s="143"/>
      <c r="AD29" s="131"/>
      <c r="AE29" s="405"/>
      <c r="AF29" s="516"/>
    </row>
    <row r="30" spans="1:32" ht="16.2" customHeight="1" thickTop="1">
      <c r="A30" s="51">
        <v>3</v>
      </c>
      <c r="B30" s="51">
        <v>76023</v>
      </c>
      <c r="C30" s="491" t="s">
        <v>927</v>
      </c>
      <c r="D30" s="143">
        <v>350</v>
      </c>
      <c r="E30" s="573"/>
      <c r="F30" s="405"/>
      <c r="G30" s="51">
        <v>3</v>
      </c>
      <c r="H30" s="51"/>
      <c r="I30" s="393"/>
      <c r="J30" s="143"/>
      <c r="K30" s="515"/>
      <c r="L30" s="181"/>
      <c r="M30" s="51">
        <v>3</v>
      </c>
      <c r="N30" s="51"/>
      <c r="O30" s="51">
        <v>76095</v>
      </c>
      <c r="P30" s="450" t="s">
        <v>448</v>
      </c>
      <c r="Q30" s="143">
        <v>350</v>
      </c>
      <c r="R30" s="515"/>
      <c r="S30" s="405"/>
      <c r="T30" s="51">
        <v>2</v>
      </c>
      <c r="U30" s="488" t="s">
        <v>1397</v>
      </c>
      <c r="V30" s="855" t="s">
        <v>467</v>
      </c>
      <c r="W30" s="856"/>
      <c r="X30" s="856"/>
      <c r="Y30" s="857"/>
      <c r="Z30" s="51">
        <v>3</v>
      </c>
      <c r="AA30" s="51"/>
      <c r="AB30" s="491"/>
      <c r="AC30" s="143"/>
      <c r="AD30" s="131"/>
      <c r="AE30" s="405"/>
      <c r="AF30" s="516"/>
    </row>
    <row r="31" spans="1:32" ht="16.2" customHeight="1" thickBot="1">
      <c r="A31" s="51">
        <v>3</v>
      </c>
      <c r="B31" s="51"/>
      <c r="C31" s="393"/>
      <c r="D31" s="143"/>
      <c r="E31" s="588"/>
      <c r="F31" s="405"/>
      <c r="G31" s="51">
        <v>3</v>
      </c>
      <c r="H31" s="51"/>
      <c r="I31" s="393"/>
      <c r="J31" s="143"/>
      <c r="K31" s="515"/>
      <c r="L31" s="181"/>
      <c r="M31" s="51">
        <v>3</v>
      </c>
      <c r="N31" s="51"/>
      <c r="O31" s="51">
        <v>76097</v>
      </c>
      <c r="P31" s="450" t="s">
        <v>1221</v>
      </c>
      <c r="Q31" s="143">
        <v>100</v>
      </c>
      <c r="R31" s="515"/>
      <c r="S31" s="405"/>
      <c r="T31" s="51">
        <v>3</v>
      </c>
      <c r="U31" s="51">
        <v>76125</v>
      </c>
      <c r="V31" s="392" t="s">
        <v>468</v>
      </c>
      <c r="W31" s="358">
        <v>500</v>
      </c>
      <c r="X31" s="515"/>
      <c r="Y31" s="404"/>
      <c r="Z31" s="51">
        <v>3</v>
      </c>
      <c r="AA31" s="51"/>
      <c r="AB31" s="491"/>
      <c r="AC31" s="139"/>
      <c r="AD31" s="131"/>
      <c r="AE31" s="405"/>
      <c r="AF31" s="516"/>
    </row>
    <row r="32" spans="1:32" ht="16.2" customHeight="1" thickTop="1" thickBot="1">
      <c r="A32" s="51">
        <v>4</v>
      </c>
      <c r="B32" s="51"/>
      <c r="C32" s="672" t="s">
        <v>924</v>
      </c>
      <c r="D32" s="301">
        <f>SUM(D27:D31)</f>
        <v>1000</v>
      </c>
      <c r="E32" s="564"/>
      <c r="F32" s="308">
        <f>SUM(F27:F31)</f>
        <v>0</v>
      </c>
      <c r="G32" s="51">
        <v>3</v>
      </c>
      <c r="H32" s="51"/>
      <c r="I32" s="393"/>
      <c r="J32" s="143"/>
      <c r="K32" s="515"/>
      <c r="L32" s="181"/>
      <c r="M32" s="51">
        <v>3</v>
      </c>
      <c r="N32" s="51"/>
      <c r="O32" s="51"/>
      <c r="P32" s="393"/>
      <c r="Q32" s="353"/>
      <c r="R32" s="515"/>
      <c r="S32" s="405"/>
      <c r="T32" s="51">
        <v>3</v>
      </c>
      <c r="U32" s="51">
        <v>76127</v>
      </c>
      <c r="V32" s="393" t="s">
        <v>469</v>
      </c>
      <c r="W32" s="358">
        <v>600</v>
      </c>
      <c r="X32" s="515"/>
      <c r="Y32" s="405"/>
      <c r="Z32" s="51">
        <v>3</v>
      </c>
      <c r="AA32" s="51"/>
      <c r="AB32" s="545"/>
      <c r="AC32" s="139"/>
      <c r="AD32" s="131"/>
      <c r="AE32" s="132"/>
      <c r="AF32" s="516"/>
    </row>
    <row r="33" spans="1:32" ht="16.2" customHeight="1" thickTop="1" thickBot="1">
      <c r="A33" s="51">
        <v>2</v>
      </c>
      <c r="B33" s="488" t="s">
        <v>1388</v>
      </c>
      <c r="C33" s="849" t="s">
        <v>928</v>
      </c>
      <c r="D33" s="850"/>
      <c r="E33" s="850"/>
      <c r="F33" s="851"/>
      <c r="G33" s="51">
        <v>3</v>
      </c>
      <c r="H33" s="51"/>
      <c r="I33" s="681"/>
      <c r="J33" s="139"/>
      <c r="K33" s="515"/>
      <c r="L33" s="134"/>
      <c r="M33" s="51">
        <v>3</v>
      </c>
      <c r="N33" s="51"/>
      <c r="O33" s="51"/>
      <c r="P33" s="548"/>
      <c r="Q33" s="209"/>
      <c r="R33" s="549"/>
      <c r="S33" s="161"/>
      <c r="T33" s="51">
        <v>3</v>
      </c>
      <c r="U33" s="51">
        <v>76129</v>
      </c>
      <c r="V33" s="393" t="s">
        <v>1123</v>
      </c>
      <c r="W33" s="143">
        <v>150</v>
      </c>
      <c r="X33" s="131"/>
      <c r="Y33" s="405"/>
      <c r="Z33" s="51">
        <v>3</v>
      </c>
      <c r="AA33" s="51"/>
      <c r="AB33" s="545"/>
      <c r="AC33" s="139"/>
      <c r="AD33" s="135"/>
      <c r="AE33" s="241"/>
      <c r="AF33" s="516"/>
    </row>
    <row r="34" spans="1:32" ht="16.2" customHeight="1" thickTop="1" thickBot="1">
      <c r="A34" s="51">
        <v>3</v>
      </c>
      <c r="B34" s="51">
        <v>76031</v>
      </c>
      <c r="C34" s="442" t="s">
        <v>930</v>
      </c>
      <c r="D34" s="149">
        <v>1300</v>
      </c>
      <c r="E34" s="511"/>
      <c r="F34" s="404"/>
      <c r="G34" s="51">
        <v>4</v>
      </c>
      <c r="H34" s="51"/>
      <c r="I34" s="671" t="s">
        <v>433</v>
      </c>
      <c r="J34" s="27">
        <f>SUM(J14:J33)</f>
        <v>1200</v>
      </c>
      <c r="K34" s="682"/>
      <c r="L34" s="75">
        <f>SUM(L14:L33)</f>
        <v>0</v>
      </c>
      <c r="M34" s="51">
        <v>4</v>
      </c>
      <c r="N34" s="51"/>
      <c r="O34" s="51"/>
      <c r="P34" s="660" t="s">
        <v>450</v>
      </c>
      <c r="Q34" s="683">
        <f>SUM(Q28:Q33)</f>
        <v>950</v>
      </c>
      <c r="R34" s="684"/>
      <c r="S34" s="309">
        <f>SUM(S29:S33)</f>
        <v>0</v>
      </c>
      <c r="T34" s="51">
        <v>3</v>
      </c>
      <c r="U34" s="673"/>
      <c r="V34" s="675"/>
      <c r="W34" s="556"/>
      <c r="X34" s="556"/>
      <c r="Y34" s="182"/>
      <c r="Z34" s="51">
        <v>4</v>
      </c>
      <c r="AA34" s="51"/>
      <c r="AB34" s="551" t="s">
        <v>210</v>
      </c>
      <c r="AC34" s="301">
        <f>SUM(AC24:AC33)</f>
        <v>450</v>
      </c>
      <c r="AD34" s="305"/>
      <c r="AE34" s="308">
        <f>SUM(AE24:AE33)</f>
        <v>0</v>
      </c>
      <c r="AF34" s="516"/>
    </row>
    <row r="35" spans="1:32" ht="16.2" customHeight="1" thickTop="1" thickBot="1">
      <c r="A35" s="51">
        <v>3</v>
      </c>
      <c r="B35" s="51">
        <v>76033</v>
      </c>
      <c r="C35" s="442" t="s">
        <v>1094</v>
      </c>
      <c r="D35" s="149">
        <v>200</v>
      </c>
      <c r="E35" s="515"/>
      <c r="F35" s="405"/>
      <c r="G35" s="51">
        <v>2</v>
      </c>
      <c r="H35" s="488" t="s">
        <v>1390</v>
      </c>
      <c r="I35" s="852" t="s">
        <v>431</v>
      </c>
      <c r="J35" s="853"/>
      <c r="K35" s="853"/>
      <c r="L35" s="854"/>
      <c r="M35" s="51">
        <v>2</v>
      </c>
      <c r="N35" s="51"/>
      <c r="O35" s="488" t="s">
        <v>1394</v>
      </c>
      <c r="P35" s="855" t="s">
        <v>449</v>
      </c>
      <c r="Q35" s="858"/>
      <c r="R35" s="858"/>
      <c r="S35" s="859"/>
      <c r="T35" s="51">
        <v>4</v>
      </c>
      <c r="U35" s="51"/>
      <c r="V35" s="660" t="s">
        <v>200</v>
      </c>
      <c r="W35" s="683">
        <f>SUM(W31:W34)</f>
        <v>1250</v>
      </c>
      <c r="X35" s="303"/>
      <c r="Y35" s="309">
        <f>SUM(Y31:Y34)</f>
        <v>0</v>
      </c>
      <c r="Z35" s="51">
        <v>2</v>
      </c>
      <c r="AA35" s="680" t="s">
        <v>1454</v>
      </c>
      <c r="AB35" s="855" t="s">
        <v>209</v>
      </c>
      <c r="AC35" s="856"/>
      <c r="AD35" s="856"/>
      <c r="AE35" s="857"/>
      <c r="AF35" s="516"/>
    </row>
    <row r="36" spans="1:32" ht="16.2" customHeight="1" thickTop="1">
      <c r="A36" s="51">
        <v>3</v>
      </c>
      <c r="B36" s="51">
        <v>76035</v>
      </c>
      <c r="C36" s="442" t="s">
        <v>1248</v>
      </c>
      <c r="D36" s="149">
        <v>200</v>
      </c>
      <c r="E36" s="573"/>
      <c r="F36" s="405"/>
      <c r="G36" s="51">
        <v>3</v>
      </c>
      <c r="H36" s="51">
        <v>76065</v>
      </c>
      <c r="I36" s="632" t="s">
        <v>221</v>
      </c>
      <c r="J36" s="148">
        <v>1600</v>
      </c>
      <c r="K36" s="511"/>
      <c r="L36" s="404"/>
      <c r="M36" s="51">
        <v>3</v>
      </c>
      <c r="N36" s="51"/>
      <c r="O36" s="51">
        <v>76101</v>
      </c>
      <c r="P36" s="491" t="s">
        <v>460</v>
      </c>
      <c r="Q36" s="753">
        <v>250</v>
      </c>
      <c r="R36" s="511"/>
      <c r="S36" s="404"/>
      <c r="T36" s="51">
        <v>3</v>
      </c>
      <c r="U36" s="488"/>
      <c r="V36" s="763"/>
      <c r="W36" s="764"/>
      <c r="X36" s="764"/>
      <c r="Y36" s="765"/>
      <c r="Z36" s="51">
        <v>3</v>
      </c>
      <c r="AA36" s="51">
        <v>76155</v>
      </c>
      <c r="AB36" s="632" t="s">
        <v>988</v>
      </c>
      <c r="AC36" s="148">
        <v>1300</v>
      </c>
      <c r="AD36" s="130"/>
      <c r="AE36" s="404"/>
      <c r="AF36" s="560"/>
    </row>
    <row r="37" spans="1:32" ht="16.2" customHeight="1">
      <c r="A37" s="51">
        <v>3</v>
      </c>
      <c r="B37" s="51">
        <v>76037</v>
      </c>
      <c r="C37" s="442" t="s">
        <v>1095</v>
      </c>
      <c r="D37" s="149">
        <v>700</v>
      </c>
      <c r="E37" s="573"/>
      <c r="F37" s="405"/>
      <c r="G37" s="51">
        <v>3</v>
      </c>
      <c r="H37" s="51">
        <v>76067</v>
      </c>
      <c r="I37" s="491" t="s">
        <v>222</v>
      </c>
      <c r="J37" s="143">
        <v>1500</v>
      </c>
      <c r="K37" s="515"/>
      <c r="L37" s="405"/>
      <c r="M37" s="51">
        <v>3</v>
      </c>
      <c r="N37" s="51"/>
      <c r="O37" s="51">
        <v>76103</v>
      </c>
      <c r="P37" s="491" t="s">
        <v>1290</v>
      </c>
      <c r="Q37" s="353">
        <v>300</v>
      </c>
      <c r="R37" s="515"/>
      <c r="S37" s="405"/>
      <c r="T37" s="51">
        <v>3</v>
      </c>
      <c r="U37" s="51"/>
      <c r="V37" s="450"/>
      <c r="W37" s="352"/>
      <c r="X37" s="261"/>
      <c r="Y37" s="396"/>
      <c r="Z37" s="51">
        <v>3</v>
      </c>
      <c r="AA37" s="51"/>
      <c r="AB37" s="491"/>
      <c r="AC37" s="143"/>
      <c r="AD37" s="131"/>
      <c r="AE37" s="405"/>
      <c r="AF37" s="560"/>
    </row>
    <row r="38" spans="1:32" ht="16.2" customHeight="1">
      <c r="A38" s="51">
        <v>3</v>
      </c>
      <c r="B38" s="51">
        <v>76039</v>
      </c>
      <c r="C38" s="442" t="s">
        <v>1539</v>
      </c>
      <c r="D38" s="149">
        <v>50</v>
      </c>
      <c r="E38" s="573"/>
      <c r="F38" s="405"/>
      <c r="G38" s="51">
        <v>3</v>
      </c>
      <c r="H38" s="51">
        <v>76069</v>
      </c>
      <c r="I38" s="491" t="s">
        <v>223</v>
      </c>
      <c r="J38" s="143">
        <v>2050</v>
      </c>
      <c r="K38" s="515"/>
      <c r="L38" s="405"/>
      <c r="M38" s="51">
        <v>3</v>
      </c>
      <c r="N38" s="51"/>
      <c r="O38" s="51"/>
      <c r="P38" s="491"/>
      <c r="Q38" s="143"/>
      <c r="R38" s="519"/>
      <c r="S38" s="405"/>
      <c r="T38" s="51">
        <v>3</v>
      </c>
      <c r="U38" s="51"/>
      <c r="V38" s="450"/>
      <c r="W38" s="143"/>
      <c r="X38" s="131"/>
      <c r="Y38" s="405"/>
      <c r="Z38" s="51">
        <v>3</v>
      </c>
      <c r="AA38" s="51"/>
      <c r="AB38" s="491"/>
      <c r="AC38" s="143"/>
      <c r="AD38" s="131"/>
      <c r="AE38" s="405"/>
      <c r="AF38" s="560"/>
    </row>
    <row r="39" spans="1:32" ht="16.2" customHeight="1">
      <c r="A39" s="51">
        <v>3</v>
      </c>
      <c r="B39" s="51"/>
      <c r="C39" s="442"/>
      <c r="D39" s="143"/>
      <c r="E39" s="573"/>
      <c r="F39" s="405"/>
      <c r="G39" s="51">
        <v>3</v>
      </c>
      <c r="H39" s="673">
        <v>76070</v>
      </c>
      <c r="I39" s="491" t="s">
        <v>1604</v>
      </c>
      <c r="J39" s="143">
        <v>1200</v>
      </c>
      <c r="K39" s="515"/>
      <c r="L39" s="405"/>
      <c r="M39" s="51">
        <v>3</v>
      </c>
      <c r="N39" s="51"/>
      <c r="O39" s="51"/>
      <c r="P39" s="619"/>
      <c r="Q39" s="493"/>
      <c r="R39" s="515"/>
      <c r="S39" s="405"/>
      <c r="T39" s="51">
        <v>3</v>
      </c>
      <c r="U39" s="51"/>
      <c r="V39" s="450"/>
      <c r="W39" s="143"/>
      <c r="X39" s="634"/>
      <c r="Y39" s="405"/>
      <c r="Z39" s="51">
        <v>3</v>
      </c>
      <c r="AA39" s="51"/>
      <c r="AB39" s="491"/>
      <c r="AC39" s="143"/>
      <c r="AD39" s="131"/>
      <c r="AE39" s="405"/>
      <c r="AF39" s="560"/>
    </row>
    <row r="40" spans="1:32" ht="16.2" customHeight="1">
      <c r="A40" s="51">
        <v>3</v>
      </c>
      <c r="B40" s="51"/>
      <c r="C40" s="442"/>
      <c r="D40" s="143"/>
      <c r="E40" s="573"/>
      <c r="F40" s="405"/>
      <c r="G40" s="51">
        <v>3</v>
      </c>
      <c r="H40" s="51">
        <v>76072</v>
      </c>
      <c r="I40" s="491" t="s">
        <v>1490</v>
      </c>
      <c r="J40" s="149">
        <v>150</v>
      </c>
      <c r="K40" s="515"/>
      <c r="L40" s="405"/>
      <c r="M40" s="51">
        <v>3</v>
      </c>
      <c r="N40" s="51"/>
      <c r="O40" s="51"/>
      <c r="P40" s="587"/>
      <c r="Q40" s="353"/>
      <c r="R40" s="261"/>
      <c r="S40" s="405"/>
      <c r="T40" s="51">
        <v>3</v>
      </c>
      <c r="U40" s="51"/>
      <c r="V40" s="443"/>
      <c r="W40" s="143"/>
      <c r="X40" s="634"/>
      <c r="Y40" s="405"/>
      <c r="Z40" s="51">
        <v>3</v>
      </c>
      <c r="AA40" s="51"/>
      <c r="AB40" s="561"/>
      <c r="AC40" s="515"/>
      <c r="AD40" s="515"/>
      <c r="AE40" s="163"/>
      <c r="AF40" s="560"/>
    </row>
    <row r="41" spans="1:32" ht="16.2" customHeight="1" thickBot="1">
      <c r="A41" s="51">
        <v>3</v>
      </c>
      <c r="B41" s="51"/>
      <c r="C41" s="442"/>
      <c r="D41" s="143"/>
      <c r="E41" s="573"/>
      <c r="F41" s="405"/>
      <c r="G41" s="51">
        <v>3</v>
      </c>
      <c r="H41" s="51"/>
      <c r="I41" s="450"/>
      <c r="J41" s="208"/>
      <c r="K41" s="519"/>
      <c r="L41" s="133"/>
      <c r="M41" s="51">
        <v>3</v>
      </c>
      <c r="N41" s="51"/>
      <c r="O41" s="673"/>
      <c r="P41" s="675"/>
      <c r="Q41" s="556"/>
      <c r="R41" s="556"/>
      <c r="S41" s="182"/>
      <c r="T41" s="51">
        <v>3</v>
      </c>
      <c r="U41" s="673"/>
      <c r="V41" s="450"/>
      <c r="W41" s="143"/>
      <c r="X41" s="596"/>
      <c r="Y41" s="405"/>
      <c r="Z41" s="51">
        <v>3</v>
      </c>
      <c r="AA41" s="51"/>
      <c r="AB41" s="555"/>
      <c r="AC41" s="556"/>
      <c r="AD41" s="556"/>
      <c r="AE41" s="182"/>
      <c r="AF41" s="560"/>
    </row>
    <row r="42" spans="1:32" ht="16.2" customHeight="1" thickTop="1" thickBot="1">
      <c r="A42" s="51">
        <v>4</v>
      </c>
      <c r="B42" s="51"/>
      <c r="C42" s="602" t="s">
        <v>1225</v>
      </c>
      <c r="D42" s="145">
        <f>SUM(D34:D41)</f>
        <v>2450</v>
      </c>
      <c r="E42" s="603"/>
      <c r="F42" s="398">
        <f>SUM(F34:F41)</f>
        <v>0</v>
      </c>
      <c r="G42" s="51">
        <v>4</v>
      </c>
      <c r="H42" s="51"/>
      <c r="I42" s="607" t="s">
        <v>434</v>
      </c>
      <c r="J42" s="27">
        <f>SUM(J36:J41)</f>
        <v>6500</v>
      </c>
      <c r="K42" s="522"/>
      <c r="L42" s="75">
        <f>SUM(L36:L41)</f>
        <v>0</v>
      </c>
      <c r="M42" s="51">
        <v>4</v>
      </c>
      <c r="N42" s="51"/>
      <c r="O42" s="51"/>
      <c r="P42" s="607" t="s">
        <v>457</v>
      </c>
      <c r="Q42" s="685">
        <f>SUM(Q36:Q41)</f>
        <v>550</v>
      </c>
      <c r="R42" s="25"/>
      <c r="S42" s="75">
        <f>SUM(S36:S41)</f>
        <v>0</v>
      </c>
      <c r="T42" s="51">
        <v>3</v>
      </c>
      <c r="U42" s="51"/>
      <c r="V42" s="686"/>
      <c r="W42" s="624"/>
      <c r="X42" s="652"/>
      <c r="Y42" s="185"/>
      <c r="Z42" s="51">
        <v>4</v>
      </c>
      <c r="AA42" s="673"/>
      <c r="AB42" s="658" t="s">
        <v>989</v>
      </c>
      <c r="AC42" s="621">
        <f>SUM(AC36:AC40)</f>
        <v>1300</v>
      </c>
      <c r="AD42" s="305"/>
      <c r="AE42" s="308">
        <f>SUM(AE36:AE40)</f>
        <v>0</v>
      </c>
      <c r="AF42" s="560"/>
    </row>
    <row r="43" spans="1:32" ht="16.2" customHeight="1" thickTop="1">
      <c r="A43" s="51">
        <v>9</v>
      </c>
      <c r="B43" s="51"/>
      <c r="G43" s="51">
        <v>9</v>
      </c>
      <c r="H43" s="51"/>
      <c r="M43" s="51">
        <v>9</v>
      </c>
      <c r="N43" s="51"/>
      <c r="O43" s="51"/>
      <c r="T43" s="51">
        <v>9</v>
      </c>
      <c r="U43" s="51"/>
      <c r="Z43" s="51">
        <v>9</v>
      </c>
      <c r="AA43" s="51"/>
      <c r="AB43" s="234"/>
      <c r="AC43" s="609"/>
      <c r="AD43" s="489"/>
      <c r="AE43" s="610" t="s">
        <v>1131</v>
      </c>
      <c r="AF43" s="630">
        <f>D19+D25+D32+D42+J34+J42+Q19+Q27+Q34+Q42+W20+W29+W35+AC22+AC34+AC42</f>
        <v>33800</v>
      </c>
    </row>
    <row r="44" spans="1:32" ht="16.2" customHeight="1">
      <c r="AB44" s="224"/>
      <c r="AC44" s="489"/>
      <c r="AD44" s="489"/>
      <c r="AE44" s="527" t="s">
        <v>1132</v>
      </c>
      <c r="AF44" s="93">
        <f>F19+F25+F32+F42+L34+L42+S19+S27+S34+S42+Y20+Y29+Y35+AE22+AE34+AE42</f>
        <v>0</v>
      </c>
    </row>
    <row r="45" spans="1:32" ht="16.2" customHeight="1">
      <c r="C45" s="489"/>
      <c r="D45" s="489"/>
      <c r="E45" s="224"/>
      <c r="F45" s="489"/>
      <c r="G45" s="489"/>
      <c r="H45" s="489"/>
      <c r="AB45" s="489"/>
      <c r="AC45" s="489"/>
      <c r="AD45" s="489"/>
      <c r="AE45" s="489"/>
      <c r="AF45" s="489"/>
    </row>
    <row r="46" spans="1:32" ht="16.2" customHeight="1">
      <c r="C46" s="489"/>
      <c r="D46" s="489"/>
      <c r="E46" s="489"/>
      <c r="F46" s="489"/>
      <c r="G46" s="489"/>
      <c r="H46" s="489"/>
      <c r="P46" s="653"/>
      <c r="Q46" s="21"/>
      <c r="R46" s="489"/>
      <c r="S46" s="246"/>
      <c r="T46" s="246"/>
      <c r="U46" s="246"/>
      <c r="W46" s="489"/>
      <c r="AB46" s="489"/>
      <c r="AC46" s="489"/>
      <c r="AD46" s="489"/>
      <c r="AE46" s="489"/>
      <c r="AF46" s="489"/>
    </row>
    <row r="47" spans="1:32" ht="16.2" customHeight="1">
      <c r="C47" s="489"/>
      <c r="D47" s="489"/>
      <c r="E47" s="489"/>
      <c r="F47" s="489"/>
      <c r="G47" s="489"/>
      <c r="H47" s="489"/>
      <c r="L47" s="189"/>
      <c r="M47" s="189"/>
      <c r="N47" s="189"/>
      <c r="O47" s="189"/>
      <c r="P47" s="506"/>
      <c r="Q47" s="20"/>
      <c r="S47" s="189"/>
      <c r="T47" s="189"/>
      <c r="U47" s="189"/>
      <c r="W47" s="489"/>
      <c r="AB47" s="489"/>
      <c r="AC47" s="489"/>
      <c r="AD47" s="489"/>
      <c r="AE47" s="489"/>
      <c r="AF47" s="489"/>
    </row>
    <row r="48" spans="1:32" ht="16.2" customHeight="1">
      <c r="C48" s="489"/>
      <c r="D48" s="489"/>
      <c r="E48" s="489"/>
      <c r="F48" s="489"/>
      <c r="G48" s="489"/>
      <c r="H48" s="489"/>
      <c r="L48" s="189"/>
      <c r="M48" s="189"/>
      <c r="N48" s="189"/>
      <c r="O48" s="189"/>
      <c r="P48" s="506"/>
      <c r="S48" s="336"/>
      <c r="T48" s="336"/>
      <c r="U48" s="336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</row>
    <row r="49" spans="3:32" ht="16.2" customHeight="1">
      <c r="C49" s="489"/>
      <c r="D49" s="489"/>
      <c r="E49" s="489"/>
      <c r="F49" s="489"/>
      <c r="G49" s="489"/>
      <c r="H49" s="489"/>
      <c r="I49" s="687"/>
      <c r="J49" s="21"/>
      <c r="L49" s="189"/>
      <c r="M49" s="189"/>
      <c r="N49" s="189"/>
      <c r="O49" s="189"/>
      <c r="P49" s="506"/>
      <c r="Q49" s="21"/>
      <c r="R49" s="489"/>
      <c r="S49" s="246"/>
      <c r="T49" s="246"/>
      <c r="U49" s="246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</row>
    <row r="50" spans="3:32" ht="16.2" customHeight="1">
      <c r="C50" s="489"/>
      <c r="D50" s="489"/>
      <c r="E50" s="489"/>
      <c r="F50" s="489"/>
      <c r="G50" s="489"/>
      <c r="H50" s="489"/>
      <c r="K50" s="489"/>
      <c r="L50" s="246"/>
      <c r="M50" s="246"/>
      <c r="N50" s="246"/>
      <c r="O50" s="246"/>
      <c r="P50" s="506"/>
      <c r="Q50" s="21"/>
      <c r="R50" s="489"/>
      <c r="S50" s="246"/>
      <c r="T50" s="246"/>
      <c r="U50" s="246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  <c r="AF50" s="489"/>
    </row>
    <row r="51" spans="3:32" ht="16.2" customHeight="1">
      <c r="C51" s="489"/>
      <c r="D51" s="489"/>
      <c r="E51" s="489"/>
      <c r="F51" s="489"/>
      <c r="G51" s="489"/>
      <c r="H51" s="489"/>
      <c r="K51" s="489"/>
      <c r="L51" s="246"/>
      <c r="M51" s="246"/>
      <c r="N51" s="246"/>
      <c r="O51" s="246"/>
      <c r="P51" s="506"/>
      <c r="Q51" s="21"/>
      <c r="R51" s="489"/>
      <c r="S51" s="337"/>
      <c r="T51" s="337"/>
      <c r="U51" s="337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</row>
    <row r="52" spans="3:32" ht="16.2" customHeight="1">
      <c r="C52" s="489"/>
      <c r="D52" s="489"/>
      <c r="E52" s="489"/>
      <c r="F52" s="489"/>
      <c r="G52" s="489"/>
      <c r="H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89"/>
    </row>
    <row r="53" spans="3:32" ht="16.2" customHeight="1">
      <c r="C53" s="489"/>
      <c r="D53" s="489"/>
      <c r="E53" s="489"/>
      <c r="F53" s="489"/>
      <c r="G53" s="489"/>
      <c r="H53" s="489"/>
      <c r="I53" s="506"/>
      <c r="J53" s="21"/>
      <c r="L53" s="189"/>
      <c r="M53" s="189"/>
      <c r="N53" s="189"/>
      <c r="O53" s="189"/>
      <c r="P53" s="506"/>
      <c r="Q53" s="20"/>
      <c r="R53" s="14"/>
      <c r="S53" s="189"/>
      <c r="T53" s="189"/>
      <c r="U53" s="1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  <c r="AF53" s="489"/>
    </row>
    <row r="54" spans="3:32" ht="16.2" customHeight="1"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571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89"/>
    </row>
    <row r="55" spans="3:32" ht="16.2" customHeight="1"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571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  <c r="AF55" s="489"/>
    </row>
    <row r="56" spans="3:32" ht="16.2" customHeight="1"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571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</row>
    <row r="57" spans="3:32" ht="16.2" customHeight="1"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571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</row>
    <row r="58" spans="3:32" ht="16.2" customHeight="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571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</row>
    <row r="59" spans="3:32" ht="16.2" customHeight="1"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571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  <c r="AF59" s="489"/>
    </row>
    <row r="60" spans="3:32" ht="16.2" customHeight="1"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571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  <c r="AF60" s="489"/>
    </row>
    <row r="61" spans="3:32" ht="16.2" customHeight="1"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489"/>
      <c r="P61" s="571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  <c r="AF61" s="489"/>
    </row>
    <row r="62" spans="3:32" ht="16.2" customHeight="1"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571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  <c r="AF62" s="489"/>
    </row>
    <row r="63" spans="3:32" ht="16.2" customHeight="1"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571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  <c r="AF63" s="489"/>
    </row>
    <row r="64" spans="3:32" ht="16.2" customHeight="1"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571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  <c r="AF64" s="489"/>
    </row>
    <row r="65" spans="3:32" ht="16.2" customHeight="1"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571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89"/>
    </row>
    <row r="66" spans="3:32" ht="16.2" customHeight="1"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571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  <c r="AF66" s="489"/>
    </row>
    <row r="67" spans="3:32" ht="16.2" customHeight="1"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571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489"/>
    </row>
    <row r="68" spans="3:32" ht="16.2" customHeight="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571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</row>
    <row r="69" spans="3:32" ht="16.2" customHeight="1"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571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  <c r="AF69" s="489"/>
    </row>
    <row r="70" spans="3:32" ht="16.2" customHeight="1"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571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  <c r="AF70" s="489"/>
    </row>
    <row r="71" spans="3:32" ht="16.2" customHeight="1"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571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  <c r="AF71" s="489"/>
    </row>
    <row r="72" spans="3:32" ht="16.2" customHeight="1"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571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  <c r="AF72" s="489"/>
    </row>
    <row r="73" spans="3:32" ht="16.2" customHeight="1"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571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  <c r="AF73" s="489"/>
    </row>
    <row r="74" spans="3:32" ht="16.2" customHeight="1"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571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  <c r="AF74" s="489"/>
    </row>
    <row r="75" spans="3:32" ht="16.2" customHeight="1"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571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  <c r="AF75" s="489"/>
    </row>
    <row r="76" spans="3:32" ht="16.2" customHeight="1"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571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  <c r="AF76" s="489"/>
    </row>
    <row r="77" spans="3:32" ht="16.2" customHeight="1"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  <c r="AF77" s="489"/>
    </row>
    <row r="78" spans="3:32" ht="16.2" customHeight="1"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  <c r="AF78" s="489"/>
    </row>
    <row r="79" spans="3:32" ht="16.2" customHeight="1"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  <c r="AF79" s="489"/>
    </row>
    <row r="80" spans="3:32" ht="16.2" customHeight="1"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  <c r="AF80" s="489"/>
    </row>
    <row r="81" spans="3:32" ht="16.2" customHeight="1"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</row>
    <row r="82" spans="3:32" ht="16.2" customHeight="1"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  <c r="AF82" s="489"/>
    </row>
    <row r="83" spans="3:32" ht="16.2" customHeight="1"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  <c r="AF83" s="489"/>
    </row>
    <row r="84" spans="3:32" ht="16.2" customHeight="1"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89"/>
      <c r="AF84" s="489"/>
    </row>
    <row r="85" spans="3:32" ht="16.2" customHeight="1"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  <c r="AF85" s="489"/>
    </row>
    <row r="86" spans="3:32" ht="16.2" customHeight="1"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  <c r="V86" s="489"/>
      <c r="W86" s="489"/>
      <c r="X86" s="489"/>
      <c r="Y86" s="489"/>
      <c r="Z86" s="489"/>
      <c r="AA86" s="489"/>
      <c r="AB86" s="489"/>
      <c r="AC86" s="489"/>
      <c r="AD86" s="489"/>
      <c r="AE86" s="489"/>
      <c r="AF86" s="489"/>
    </row>
    <row r="87" spans="3:32" ht="16.2" customHeight="1">
      <c r="C87" s="489"/>
      <c r="D87" s="489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  <c r="AF87" s="489"/>
    </row>
    <row r="88" spans="3:32" ht="16.2" customHeight="1"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  <c r="AF88" s="489"/>
    </row>
    <row r="89" spans="3:32" ht="16.2" customHeight="1"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  <c r="AF89" s="489"/>
    </row>
    <row r="90" spans="3:32" ht="16.2" customHeight="1"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89"/>
      <c r="AF90" s="489"/>
    </row>
    <row r="91" spans="3:32" ht="16.2" customHeight="1"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  <c r="AF91" s="489"/>
    </row>
    <row r="92" spans="3:32" ht="16.2" customHeight="1"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489"/>
      <c r="AD92" s="489"/>
      <c r="AE92" s="489"/>
      <c r="AF92" s="489"/>
    </row>
    <row r="93" spans="3:32" ht="16.2" customHeight="1"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89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89"/>
      <c r="AC93" s="489"/>
      <c r="AD93" s="489"/>
      <c r="AE93" s="489"/>
      <c r="AF93" s="489"/>
    </row>
    <row r="94" spans="3:32" ht="16.2" customHeight="1"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89"/>
      <c r="O94" s="489"/>
      <c r="P94" s="489"/>
      <c r="Q94" s="489"/>
      <c r="R94" s="489"/>
      <c r="S94" s="489"/>
      <c r="T94" s="489"/>
      <c r="U94" s="489"/>
      <c r="V94" s="489"/>
      <c r="W94" s="489"/>
      <c r="X94" s="489"/>
      <c r="Y94" s="489"/>
      <c r="Z94" s="489"/>
      <c r="AA94" s="489"/>
      <c r="AB94" s="489"/>
      <c r="AC94" s="489"/>
      <c r="AD94" s="489"/>
      <c r="AE94" s="489"/>
      <c r="AF94" s="489"/>
    </row>
    <row r="95" spans="3:32" ht="16.2" customHeight="1"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  <c r="AF95" s="489"/>
    </row>
    <row r="96" spans="3:32" ht="16.2" customHeight="1">
      <c r="C96" s="489"/>
      <c r="D96" s="489"/>
      <c r="E96" s="489"/>
      <c r="F96" s="489"/>
      <c r="G96" s="489"/>
      <c r="H96" s="489"/>
      <c r="I96" s="489"/>
      <c r="J96" s="489"/>
      <c r="K96" s="489"/>
      <c r="L96" s="489"/>
      <c r="M96" s="489"/>
      <c r="N96" s="489"/>
      <c r="O96" s="489"/>
      <c r="P96" s="489"/>
      <c r="Q96" s="489"/>
      <c r="R96" s="489"/>
      <c r="S96" s="489"/>
      <c r="T96" s="489"/>
      <c r="U96" s="489"/>
      <c r="V96" s="489"/>
      <c r="W96" s="489"/>
      <c r="X96" s="489"/>
      <c r="Y96" s="489"/>
      <c r="Z96" s="489"/>
      <c r="AA96" s="489"/>
      <c r="AB96" s="489"/>
      <c r="AC96" s="489"/>
      <c r="AD96" s="489"/>
      <c r="AE96" s="489"/>
      <c r="AF96" s="489"/>
    </row>
    <row r="97" spans="3:32" ht="16.2" customHeight="1"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V97" s="489"/>
      <c r="W97" s="489"/>
      <c r="X97" s="489"/>
      <c r="Y97" s="489"/>
      <c r="Z97" s="489"/>
      <c r="AA97" s="489"/>
      <c r="AB97" s="489"/>
      <c r="AC97" s="489"/>
      <c r="AD97" s="489"/>
      <c r="AE97" s="489"/>
      <c r="AF97" s="489"/>
    </row>
    <row r="98" spans="3:32" ht="16.2" customHeight="1">
      <c r="C98" s="489"/>
      <c r="D98" s="489"/>
      <c r="E98" s="489"/>
      <c r="F98" s="489"/>
      <c r="G98" s="489"/>
      <c r="H98" s="489"/>
      <c r="I98" s="489"/>
      <c r="J98" s="489"/>
      <c r="K98" s="489"/>
      <c r="L98" s="489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  <c r="AF98" s="489"/>
    </row>
    <row r="99" spans="3:32" ht="16.2" customHeight="1"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  <c r="AF99" s="489"/>
    </row>
    <row r="100" spans="3:32" ht="16.2" customHeight="1"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89"/>
      <c r="AC100" s="489"/>
      <c r="AD100" s="489"/>
      <c r="AE100" s="489"/>
      <c r="AF100" s="489"/>
    </row>
    <row r="101" spans="3:32" ht="16.2" customHeight="1"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89"/>
      <c r="AE101" s="489"/>
      <c r="AF101" s="489"/>
    </row>
    <row r="102" spans="3:32" ht="16.2" customHeight="1"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  <c r="AF102" s="489"/>
    </row>
    <row r="103" spans="3:32" ht="16.2" customHeight="1">
      <c r="C103" s="489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  <c r="AF103" s="489"/>
    </row>
    <row r="104" spans="3:32" ht="16.2" customHeight="1"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  <c r="AF104" s="489"/>
    </row>
    <row r="105" spans="3:32" ht="16.2" customHeight="1"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  <c r="AF105" s="489"/>
    </row>
    <row r="106" spans="3:32" ht="16.2" customHeight="1"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89"/>
      <c r="V106" s="489"/>
      <c r="W106" s="489"/>
      <c r="X106" s="489"/>
      <c r="Y106" s="489"/>
      <c r="Z106" s="489"/>
      <c r="AA106" s="489"/>
      <c r="AB106" s="489"/>
      <c r="AC106" s="489"/>
      <c r="AD106" s="489"/>
      <c r="AE106" s="489"/>
      <c r="AF106" s="489"/>
    </row>
    <row r="107" spans="3:32" ht="16.2" customHeight="1"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  <c r="AF107" s="489"/>
    </row>
    <row r="108" spans="3:32" ht="16.2" customHeight="1"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  <c r="AE108" s="489"/>
      <c r="AF108" s="489"/>
    </row>
    <row r="109" spans="3:32" ht="16.2" customHeight="1">
      <c r="C109" s="489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89"/>
      <c r="V109" s="489"/>
      <c r="W109" s="489"/>
      <c r="X109" s="489"/>
      <c r="Y109" s="489"/>
      <c r="Z109" s="489"/>
      <c r="AA109" s="489"/>
      <c r="AB109" s="489"/>
      <c r="AC109" s="489"/>
      <c r="AD109" s="489"/>
      <c r="AE109" s="489"/>
      <c r="AF109" s="489"/>
    </row>
    <row r="110" spans="3:32" ht="16.2" customHeight="1"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89"/>
      <c r="V110" s="489"/>
      <c r="W110" s="489"/>
      <c r="X110" s="489"/>
      <c r="Y110" s="489"/>
      <c r="Z110" s="489"/>
      <c r="AA110" s="489"/>
      <c r="AB110" s="489"/>
      <c r="AC110" s="489"/>
      <c r="AD110" s="489"/>
      <c r="AE110" s="489"/>
      <c r="AF110" s="489"/>
    </row>
    <row r="111" spans="3:32" ht="16.2" customHeight="1"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  <c r="AF111" s="489"/>
    </row>
    <row r="112" spans="3:32" ht="16.2" customHeight="1"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89"/>
      <c r="V112" s="489"/>
      <c r="W112" s="489"/>
      <c r="X112" s="489"/>
      <c r="Y112" s="489"/>
      <c r="Z112" s="489"/>
      <c r="AA112" s="489"/>
      <c r="AB112" s="489"/>
      <c r="AC112" s="489"/>
      <c r="AD112" s="489"/>
      <c r="AE112" s="489"/>
      <c r="AF112" s="489"/>
    </row>
    <row r="113" spans="3:32" ht="16.2" customHeight="1"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  <c r="AF113" s="489"/>
    </row>
    <row r="114" spans="3:32" ht="16.2" customHeight="1">
      <c r="C114" s="489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  <c r="AF114" s="489"/>
    </row>
    <row r="115" spans="3:32" ht="16.2" customHeight="1"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  <c r="AF115" s="489"/>
    </row>
    <row r="116" spans="3:32" ht="16.2" customHeight="1"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89"/>
      <c r="V116" s="489"/>
      <c r="W116" s="489"/>
      <c r="X116" s="489"/>
      <c r="Y116" s="489"/>
      <c r="Z116" s="489"/>
      <c r="AA116" s="489"/>
      <c r="AB116" s="489"/>
      <c r="AC116" s="489"/>
      <c r="AD116" s="489"/>
      <c r="AE116" s="489"/>
      <c r="AF116" s="489"/>
    </row>
    <row r="117" spans="3:32" ht="16.2" customHeight="1"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89"/>
      <c r="V117" s="489"/>
      <c r="W117" s="489"/>
      <c r="X117" s="489"/>
      <c r="Y117" s="489"/>
      <c r="Z117" s="489"/>
      <c r="AA117" s="489"/>
      <c r="AB117" s="489"/>
      <c r="AC117" s="489"/>
      <c r="AD117" s="489"/>
      <c r="AE117" s="489"/>
      <c r="AF117" s="489"/>
    </row>
    <row r="118" spans="3:32" ht="16.2" customHeight="1"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89"/>
      <c r="V118" s="489"/>
      <c r="W118" s="489"/>
      <c r="X118" s="489"/>
      <c r="Y118" s="489"/>
      <c r="Z118" s="489"/>
      <c r="AA118" s="489"/>
      <c r="AB118" s="489"/>
      <c r="AC118" s="489"/>
      <c r="AD118" s="489"/>
      <c r="AE118" s="489"/>
      <c r="AF118" s="489"/>
    </row>
    <row r="119" spans="3:32" ht="16.2" customHeight="1">
      <c r="C119" s="489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89"/>
      <c r="V119" s="489"/>
      <c r="W119" s="489"/>
      <c r="X119" s="489"/>
      <c r="Y119" s="489"/>
      <c r="Z119" s="489"/>
      <c r="AA119" s="489"/>
      <c r="AB119" s="489"/>
      <c r="AC119" s="489"/>
      <c r="AD119" s="489"/>
      <c r="AE119" s="489"/>
      <c r="AF119" s="489"/>
    </row>
    <row r="120" spans="3:32" ht="16.2" customHeight="1"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89"/>
      <c r="Q120" s="489"/>
      <c r="R120" s="489"/>
      <c r="S120" s="489"/>
      <c r="T120" s="489"/>
      <c r="U120" s="489"/>
      <c r="V120" s="489"/>
      <c r="W120" s="489"/>
      <c r="X120" s="489"/>
      <c r="Y120" s="489"/>
      <c r="Z120" s="489"/>
      <c r="AA120" s="489"/>
      <c r="AB120" s="489"/>
      <c r="AC120" s="489"/>
      <c r="AD120" s="489"/>
      <c r="AE120" s="489"/>
      <c r="AF120" s="489"/>
    </row>
    <row r="121" spans="3:32" ht="16.2" customHeight="1">
      <c r="C121" s="489"/>
      <c r="D121" s="489"/>
      <c r="E121" s="489"/>
      <c r="F121" s="489"/>
      <c r="G121" s="489"/>
      <c r="H121" s="489"/>
      <c r="I121" s="489"/>
      <c r="J121" s="489"/>
      <c r="K121" s="489"/>
      <c r="L121" s="489"/>
      <c r="M121" s="489"/>
      <c r="N121" s="489"/>
      <c r="O121" s="489"/>
      <c r="P121" s="489"/>
      <c r="Q121" s="489"/>
      <c r="R121" s="489"/>
      <c r="S121" s="489"/>
      <c r="T121" s="489"/>
      <c r="U121" s="489"/>
      <c r="V121" s="489"/>
      <c r="W121" s="489"/>
      <c r="X121" s="489"/>
      <c r="Y121" s="489"/>
      <c r="Z121" s="489"/>
      <c r="AA121" s="489"/>
      <c r="AB121" s="489"/>
      <c r="AC121" s="489"/>
      <c r="AD121" s="489"/>
      <c r="AE121" s="489"/>
      <c r="AF121" s="489"/>
    </row>
    <row r="122" spans="3:32" ht="16.2" customHeight="1">
      <c r="C122" s="489"/>
      <c r="D122" s="489"/>
      <c r="E122" s="489"/>
      <c r="F122" s="489"/>
      <c r="G122" s="489"/>
      <c r="H122" s="489"/>
      <c r="I122" s="489"/>
      <c r="J122" s="489"/>
      <c r="K122" s="489"/>
      <c r="L122" s="489"/>
      <c r="M122" s="489"/>
      <c r="N122" s="489"/>
      <c r="O122" s="489"/>
      <c r="P122" s="489"/>
      <c r="Q122" s="489"/>
      <c r="R122" s="489"/>
      <c r="S122" s="489"/>
      <c r="T122" s="489"/>
      <c r="U122" s="489"/>
      <c r="V122" s="489"/>
      <c r="W122" s="489"/>
      <c r="X122" s="489"/>
      <c r="Y122" s="489"/>
      <c r="Z122" s="489"/>
      <c r="AA122" s="489"/>
      <c r="AB122" s="489"/>
      <c r="AC122" s="489"/>
      <c r="AD122" s="489"/>
      <c r="AE122" s="489"/>
      <c r="AF122" s="489"/>
    </row>
    <row r="123" spans="3:32" ht="16.2" customHeight="1">
      <c r="C123" s="489"/>
      <c r="D123" s="489"/>
      <c r="E123" s="489"/>
      <c r="F123" s="489"/>
      <c r="G123" s="489"/>
      <c r="H123" s="489"/>
    </row>
    <row r="124" spans="3:32" ht="16.2" customHeight="1">
      <c r="C124" s="489"/>
      <c r="D124" s="489"/>
      <c r="E124" s="489"/>
      <c r="F124" s="489"/>
      <c r="G124" s="489"/>
      <c r="H124" s="489"/>
    </row>
  </sheetData>
  <sheetProtection formatCells="0"/>
  <mergeCells count="30">
    <mergeCell ref="C2:F3"/>
    <mergeCell ref="Q7:R8"/>
    <mergeCell ref="AB5:AD6"/>
    <mergeCell ref="AB7:AF8"/>
    <mergeCell ref="X7:Y7"/>
    <mergeCell ref="AB10:AE10"/>
    <mergeCell ref="X5:Y5"/>
    <mergeCell ref="D5:L6"/>
    <mergeCell ref="P10:S10"/>
    <mergeCell ref="V10:Y10"/>
    <mergeCell ref="D7:L8"/>
    <mergeCell ref="Q5:W6"/>
    <mergeCell ref="C10:F10"/>
    <mergeCell ref="I10:L10"/>
    <mergeCell ref="AB35:AE35"/>
    <mergeCell ref="AB23:AE23"/>
    <mergeCell ref="V21:Y21"/>
    <mergeCell ref="V13:Y13"/>
    <mergeCell ref="P20:S20"/>
    <mergeCell ref="P28:S28"/>
    <mergeCell ref="AB13:AE13"/>
    <mergeCell ref="C33:F33"/>
    <mergeCell ref="P13:S13"/>
    <mergeCell ref="V30:Y30"/>
    <mergeCell ref="P35:S35"/>
    <mergeCell ref="I35:L35"/>
    <mergeCell ref="C20:F20"/>
    <mergeCell ref="I13:L13"/>
    <mergeCell ref="C26:F26"/>
    <mergeCell ref="C13:F13"/>
  </mergeCells>
  <phoneticPr fontId="2"/>
  <conditionalFormatting sqref="F14:F18 F21:F24 L14:L33 S14:S18 S21:S26 S29:S33 S36:S40 Y14:Y18 Y22:Y27 Y31:Y34 Y37:Y42 AE24:AE30 AE36:AE38 F34:F41 F27:F31 L36:L41">
    <cfRule type="cellIs" dxfId="12" priority="3" operator="greaterThan">
      <formula>D14</formula>
    </cfRule>
  </conditionalFormatting>
  <conditionalFormatting sqref="AE14:AE19">
    <cfRule type="cellIs" dxfId="11" priority="1" operator="greaterThan">
      <formula>AC14</formula>
    </cfRule>
  </conditionalFormatting>
  <hyperlinks>
    <hyperlink ref="C2:F3" location="提案表紙!A1" display="大阪府折込資料表" xr:uid="{00000000-0004-0000-20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7" orientation="landscape" horizontalDpi="300" verticalDpi="300" r:id="rId1"/>
  <headerFooter alignWithMargins="0">
    <oddFooter xml:space="preserve">&amp;RP-29/34
</oddFooter>
  </headerFooter>
  <rowBreaks count="1" manualBreakCount="1">
    <brk id="45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">
    <tabColor rgb="FFB6D2F5"/>
    <pageSetUpPr fitToPage="1"/>
  </sheetPr>
  <dimension ref="A1:AE124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7.4414062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4" width="8.6640625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6" width="8.6640625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t="13.2" hidden="1">
      <c r="A1" s="338" t="s">
        <v>1369</v>
      </c>
      <c r="B1" s="51" t="s">
        <v>1370</v>
      </c>
      <c r="C1" s="22"/>
      <c r="F1" s="51" t="s">
        <v>301</v>
      </c>
      <c r="G1" s="338" t="s">
        <v>1369</v>
      </c>
      <c r="H1" s="51" t="s">
        <v>1370</v>
      </c>
      <c r="L1" s="51" t="s">
        <v>301</v>
      </c>
      <c r="M1" s="338" t="s">
        <v>1369</v>
      </c>
      <c r="N1" s="51" t="s">
        <v>1370</v>
      </c>
      <c r="O1" s="18"/>
      <c r="R1" s="51" t="s">
        <v>301</v>
      </c>
      <c r="S1" s="338" t="s">
        <v>1369</v>
      </c>
      <c r="T1" s="51" t="s">
        <v>1370</v>
      </c>
      <c r="U1" s="18"/>
      <c r="X1" s="51" t="s">
        <v>301</v>
      </c>
      <c r="Y1" s="338" t="s">
        <v>1369</v>
      </c>
      <c r="Z1" s="51" t="s">
        <v>1370</v>
      </c>
      <c r="AA1" s="18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S2" s="51"/>
      <c r="W2" s="500"/>
      <c r="X2" s="500" t="s">
        <v>1313</v>
      </c>
    </row>
    <row r="3" spans="1:31" ht="13.5" customHeight="1">
      <c r="C3" s="835"/>
      <c r="D3" s="835"/>
      <c r="E3" s="835"/>
      <c r="F3" s="835"/>
      <c r="G3" s="460"/>
      <c r="H3" s="460"/>
      <c r="I3" s="114" t="s">
        <v>270</v>
      </c>
      <c r="S3" s="51"/>
      <c r="W3" s="500"/>
      <c r="X3" s="500" t="s">
        <v>1501</v>
      </c>
    </row>
    <row r="4" spans="1:31" ht="13.5" customHeight="1">
      <c r="C4" t="s">
        <v>1233</v>
      </c>
      <c r="I4" s="187">
        <v>45706</v>
      </c>
      <c r="J4" s="186" t="s">
        <v>0</v>
      </c>
      <c r="K4" t="s">
        <v>257</v>
      </c>
      <c r="S4" s="51"/>
      <c r="W4" s="500"/>
      <c r="X4" s="500" t="s">
        <v>1500</v>
      </c>
    </row>
    <row r="5" spans="1:31" ht="13.2" customHeight="1">
      <c r="C5" s="7" t="s">
        <v>258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233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259</v>
      </c>
      <c r="X5" s="822"/>
      <c r="Y5" s="459"/>
      <c r="Z5" s="459"/>
      <c r="AA5" s="840"/>
      <c r="AB5" s="840"/>
      <c r="AC5" s="841"/>
      <c r="AD5" s="6" t="s">
        <v>260</v>
      </c>
      <c r="AE5" s="6" t="s">
        <v>260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261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996</v>
      </c>
      <c r="P7" s="827">
        <f>提案表紙!G9</f>
        <v>0</v>
      </c>
      <c r="Q7" s="828"/>
      <c r="R7" s="7" t="s">
        <v>262</v>
      </c>
      <c r="U7" s="410">
        <f>AE46</f>
        <v>0</v>
      </c>
      <c r="V7" s="8"/>
      <c r="W7" s="821" t="s">
        <v>263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264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/>
    <row r="10" spans="1:31" ht="16.2" customHeight="1">
      <c r="A10" s="51">
        <v>1</v>
      </c>
      <c r="B10" s="51">
        <v>6</v>
      </c>
      <c r="C10" s="818" t="s">
        <v>596</v>
      </c>
      <c r="D10" s="819"/>
      <c r="E10" s="819"/>
      <c r="F10" s="820"/>
      <c r="G10" s="51">
        <v>1</v>
      </c>
      <c r="H10" s="51">
        <v>6</v>
      </c>
      <c r="I10" s="818" t="s">
        <v>997</v>
      </c>
      <c r="J10" s="819"/>
      <c r="K10" s="819"/>
      <c r="L10" s="820"/>
      <c r="M10" s="51">
        <v>1</v>
      </c>
      <c r="N10" s="51">
        <v>6</v>
      </c>
      <c r="O10" s="818" t="s">
        <v>997</v>
      </c>
      <c r="P10" s="819"/>
      <c r="Q10" s="819"/>
      <c r="R10" s="820"/>
      <c r="S10" s="51">
        <v>1</v>
      </c>
      <c r="T10" s="51">
        <v>6</v>
      </c>
      <c r="U10" s="818" t="s">
        <v>997</v>
      </c>
      <c r="V10" s="819"/>
      <c r="W10" s="819"/>
      <c r="X10" s="820"/>
      <c r="Y10" s="51">
        <v>1</v>
      </c>
      <c r="Z10" s="51">
        <v>6</v>
      </c>
      <c r="AA10" s="818" t="s">
        <v>997</v>
      </c>
      <c r="AB10" s="819"/>
      <c r="AC10" s="819"/>
      <c r="AD10" s="820"/>
      <c r="AE10" s="502" t="s">
        <v>265</v>
      </c>
    </row>
    <row r="11" spans="1:31" ht="16.2" customHeight="1">
      <c r="A11" s="51"/>
      <c r="B11" s="51"/>
      <c r="C11" s="503" t="s">
        <v>266</v>
      </c>
      <c r="D11" s="504" t="s">
        <v>267</v>
      </c>
      <c r="E11" s="319" t="s">
        <v>268</v>
      </c>
      <c r="F11" s="505" t="s">
        <v>236</v>
      </c>
      <c r="G11" s="51"/>
      <c r="H11" s="51"/>
      <c r="I11" s="503" t="s">
        <v>266</v>
      </c>
      <c r="J11" s="504" t="s">
        <v>267</v>
      </c>
      <c r="K11" s="319" t="s">
        <v>268</v>
      </c>
      <c r="L11" s="505" t="s">
        <v>236</v>
      </c>
      <c r="M11" s="51"/>
      <c r="N11" s="51"/>
      <c r="O11" s="503" t="s">
        <v>266</v>
      </c>
      <c r="P11" s="504" t="s">
        <v>267</v>
      </c>
      <c r="Q11" s="319" t="s">
        <v>268</v>
      </c>
      <c r="R11" s="505" t="s">
        <v>236</v>
      </c>
      <c r="S11" s="51"/>
      <c r="T11" s="51"/>
      <c r="U11" s="503" t="s">
        <v>266</v>
      </c>
      <c r="V11" s="504" t="s">
        <v>267</v>
      </c>
      <c r="W11" s="319" t="s">
        <v>268</v>
      </c>
      <c r="X11" s="505" t="s">
        <v>236</v>
      </c>
      <c r="Y11" s="51"/>
      <c r="Z11" s="51"/>
      <c r="AA11" s="503" t="s">
        <v>266</v>
      </c>
      <c r="AB11" s="504" t="s">
        <v>267</v>
      </c>
      <c r="AC11" s="319" t="s">
        <v>268</v>
      </c>
      <c r="AD11" s="505" t="s">
        <v>236</v>
      </c>
      <c r="AE11" s="507" t="s">
        <v>269</v>
      </c>
    </row>
    <row r="12" spans="1:31" ht="16.2" customHeight="1">
      <c r="A12" s="51"/>
      <c r="B12" s="51"/>
      <c r="C12" s="45"/>
      <c r="D12" s="33" ph="1"/>
      <c r="E12" s="24"/>
      <c r="F12" s="506"/>
      <c r="G12" s="51"/>
      <c r="H12" s="51"/>
      <c r="I12" s="508"/>
      <c r="J12" s="509"/>
      <c r="K12" s="23"/>
      <c r="L12" s="509"/>
      <c r="M12" s="51"/>
      <c r="N12" s="51"/>
      <c r="O12" s="508"/>
      <c r="P12" s="509"/>
      <c r="Q12" s="23"/>
      <c r="R12" s="509"/>
      <c r="S12" s="51"/>
      <c r="T12" s="51"/>
      <c r="U12" s="508"/>
      <c r="V12" s="509"/>
      <c r="W12" s="23"/>
      <c r="X12" s="509"/>
      <c r="Y12" s="51"/>
      <c r="Z12" s="51"/>
      <c r="AA12" s="18"/>
      <c r="AB12" s="506"/>
      <c r="AC12" s="24"/>
      <c r="AD12" s="506"/>
      <c r="AE12" s="509"/>
    </row>
    <row r="13" spans="1:31" ht="16.2" customHeight="1">
      <c r="A13" s="51">
        <v>2</v>
      </c>
      <c r="B13" s="488" t="s">
        <v>1401</v>
      </c>
      <c r="C13" s="852" t="s">
        <v>991</v>
      </c>
      <c r="D13" s="853"/>
      <c r="E13" s="853"/>
      <c r="F13" s="854"/>
      <c r="G13" s="51">
        <v>2</v>
      </c>
      <c r="H13" s="488" t="s">
        <v>1404</v>
      </c>
      <c r="I13" s="852" t="s">
        <v>1001</v>
      </c>
      <c r="J13" s="853"/>
      <c r="K13" s="853"/>
      <c r="L13" s="854"/>
      <c r="M13" s="51">
        <v>2</v>
      </c>
      <c r="N13" s="488" t="s">
        <v>1407</v>
      </c>
      <c r="O13" s="849" t="s">
        <v>1009</v>
      </c>
      <c r="P13" s="860"/>
      <c r="Q13" s="860"/>
      <c r="R13" s="861"/>
      <c r="S13" s="51">
        <v>2</v>
      </c>
      <c r="T13" s="488" t="s">
        <v>1409</v>
      </c>
      <c r="U13" s="852" t="s">
        <v>318</v>
      </c>
      <c r="V13" s="853"/>
      <c r="W13" s="853"/>
      <c r="X13" s="854"/>
      <c r="Y13" s="51">
        <v>2</v>
      </c>
      <c r="Z13" s="488" t="s">
        <v>1410</v>
      </c>
      <c r="AA13" s="852" t="s">
        <v>817</v>
      </c>
      <c r="AB13" s="863"/>
      <c r="AC13" s="863"/>
      <c r="AD13" s="864"/>
      <c r="AE13" s="513"/>
    </row>
    <row r="14" spans="1:31" ht="16.2" customHeight="1">
      <c r="A14" s="51">
        <v>3</v>
      </c>
      <c r="B14" s="51">
        <v>76159</v>
      </c>
      <c r="C14" s="450" t="s">
        <v>993</v>
      </c>
      <c r="D14" s="149">
        <v>50</v>
      </c>
      <c r="E14" s="135"/>
      <c r="F14" s="404"/>
      <c r="G14" s="51">
        <v>3</v>
      </c>
      <c r="H14" s="51">
        <v>76183</v>
      </c>
      <c r="I14" s="442" t="s">
        <v>1607</v>
      </c>
      <c r="J14" s="544">
        <v>150</v>
      </c>
      <c r="K14" s="573"/>
      <c r="L14" s="404"/>
      <c r="M14" s="51">
        <v>3</v>
      </c>
      <c r="N14" s="51">
        <v>76233</v>
      </c>
      <c r="O14" s="448" t="s">
        <v>1142</v>
      </c>
      <c r="P14" s="353">
        <v>50</v>
      </c>
      <c r="Q14" s="515"/>
      <c r="R14" s="404"/>
      <c r="S14" s="51">
        <v>3</v>
      </c>
      <c r="T14" s="51">
        <v>76273</v>
      </c>
      <c r="U14" s="491" t="s">
        <v>1243</v>
      </c>
      <c r="V14" s="574">
        <v>200</v>
      </c>
      <c r="W14" s="515"/>
      <c r="X14" s="405"/>
      <c r="Y14" s="51">
        <v>3</v>
      </c>
      <c r="Z14" s="51">
        <v>76315</v>
      </c>
      <c r="AA14" s="457" t="s">
        <v>868</v>
      </c>
      <c r="AB14" s="582">
        <v>50</v>
      </c>
      <c r="AC14" s="654"/>
      <c r="AD14" s="404"/>
      <c r="AE14" s="516"/>
    </row>
    <row r="15" spans="1:31" ht="16.2" customHeight="1">
      <c r="A15" s="51">
        <v>3</v>
      </c>
      <c r="B15" s="51">
        <v>76160</v>
      </c>
      <c r="C15" s="450" t="s">
        <v>1466</v>
      </c>
      <c r="D15" s="353">
        <v>100</v>
      </c>
      <c r="E15" s="135"/>
      <c r="F15" s="405"/>
      <c r="G15" s="51">
        <v>3</v>
      </c>
      <c r="H15" s="51">
        <v>76186</v>
      </c>
      <c r="I15" s="442" t="s">
        <v>1631</v>
      </c>
      <c r="J15" s="544">
        <v>100</v>
      </c>
      <c r="K15" s="573"/>
      <c r="L15" s="405"/>
      <c r="M15" s="51">
        <v>3</v>
      </c>
      <c r="N15" s="51">
        <v>76237</v>
      </c>
      <c r="O15" s="491" t="s">
        <v>1143</v>
      </c>
      <c r="P15" s="544">
        <v>350</v>
      </c>
      <c r="Q15" s="515"/>
      <c r="R15" s="405"/>
      <c r="S15" s="51">
        <v>3</v>
      </c>
      <c r="T15" s="51">
        <v>76275</v>
      </c>
      <c r="U15" s="491" t="s">
        <v>1249</v>
      </c>
      <c r="V15" s="586">
        <v>200</v>
      </c>
      <c r="W15" s="515"/>
      <c r="X15" s="405"/>
      <c r="Y15" s="51">
        <v>3</v>
      </c>
      <c r="Z15" s="51">
        <v>76317</v>
      </c>
      <c r="AA15" s="491" t="s">
        <v>1153</v>
      </c>
      <c r="AB15" s="655">
        <v>300</v>
      </c>
      <c r="AC15" s="515"/>
      <c r="AD15" s="405"/>
      <c r="AE15" s="516"/>
    </row>
    <row r="16" spans="1:31" ht="16.2" customHeight="1">
      <c r="A16" s="51">
        <v>3</v>
      </c>
      <c r="B16" s="51">
        <v>76161</v>
      </c>
      <c r="C16" s="450" t="s">
        <v>1134</v>
      </c>
      <c r="D16" s="143">
        <v>100</v>
      </c>
      <c r="E16" s="131"/>
      <c r="F16" s="405"/>
      <c r="G16" s="51">
        <v>3</v>
      </c>
      <c r="H16" s="51">
        <v>76189</v>
      </c>
      <c r="I16" s="442" t="s">
        <v>908</v>
      </c>
      <c r="J16" s="544">
        <v>250</v>
      </c>
      <c r="K16" s="573"/>
      <c r="L16" s="405"/>
      <c r="M16" s="51">
        <v>3</v>
      </c>
      <c r="N16" s="51">
        <v>76238</v>
      </c>
      <c r="O16" s="491" t="s">
        <v>1589</v>
      </c>
      <c r="P16" s="143">
        <v>300</v>
      </c>
      <c r="Q16" s="515"/>
      <c r="R16" s="405"/>
      <c r="S16" s="51">
        <v>3</v>
      </c>
      <c r="T16" s="51">
        <v>76277</v>
      </c>
      <c r="U16" s="491" t="s">
        <v>1145</v>
      </c>
      <c r="V16" s="544">
        <v>350</v>
      </c>
      <c r="W16" s="519"/>
      <c r="X16" s="405"/>
      <c r="Y16" s="51">
        <v>3</v>
      </c>
      <c r="Z16" s="51">
        <v>76319</v>
      </c>
      <c r="AA16" s="491" t="s">
        <v>1154</v>
      </c>
      <c r="AB16" s="620">
        <v>50</v>
      </c>
      <c r="AC16" s="515"/>
      <c r="AD16" s="405"/>
      <c r="AE16" s="516"/>
    </row>
    <row r="17" spans="1:31" ht="16.2" customHeight="1">
      <c r="A17" s="51">
        <v>3</v>
      </c>
      <c r="B17" s="51">
        <v>76163</v>
      </c>
      <c r="C17" s="450" t="s">
        <v>1030</v>
      </c>
      <c r="D17" s="143">
        <v>400</v>
      </c>
      <c r="E17" s="184"/>
      <c r="F17" s="405"/>
      <c r="G17" s="51">
        <v>3</v>
      </c>
      <c r="H17" s="51">
        <v>76191</v>
      </c>
      <c r="I17" s="491" t="s">
        <v>1002</v>
      </c>
      <c r="J17" s="769">
        <v>200</v>
      </c>
      <c r="K17" s="515"/>
      <c r="L17" s="405"/>
      <c r="M17" s="51">
        <v>3</v>
      </c>
      <c r="N17" s="51">
        <v>76240</v>
      </c>
      <c r="O17" s="450" t="s">
        <v>1590</v>
      </c>
      <c r="P17" s="143">
        <v>200</v>
      </c>
      <c r="Q17" s="519"/>
      <c r="R17" s="405"/>
      <c r="S17" s="51">
        <v>3</v>
      </c>
      <c r="T17" s="51">
        <v>76281</v>
      </c>
      <c r="U17" s="491" t="s">
        <v>1146</v>
      </c>
      <c r="V17" s="351">
        <v>50</v>
      </c>
      <c r="W17" s="515"/>
      <c r="X17" s="405"/>
      <c r="Y17" s="51">
        <v>3</v>
      </c>
      <c r="Z17" s="51">
        <v>76321</v>
      </c>
      <c r="AA17" s="491" t="s">
        <v>1155</v>
      </c>
      <c r="AB17" s="544">
        <v>50</v>
      </c>
      <c r="AC17" s="656" t="s">
        <v>1089</v>
      </c>
      <c r="AD17" s="405"/>
      <c r="AE17" s="516"/>
    </row>
    <row r="18" spans="1:31" ht="16.2" customHeight="1">
      <c r="A18" s="51">
        <v>3</v>
      </c>
      <c r="B18" s="51">
        <v>76165</v>
      </c>
      <c r="C18" s="450" t="s">
        <v>1315</v>
      </c>
      <c r="D18" s="623">
        <v>350</v>
      </c>
      <c r="E18" s="131"/>
      <c r="F18" s="405"/>
      <c r="G18" s="51">
        <v>3</v>
      </c>
      <c r="H18" s="51">
        <v>76193</v>
      </c>
      <c r="I18" s="442" t="s">
        <v>1507</v>
      </c>
      <c r="J18" s="620">
        <v>200</v>
      </c>
      <c r="K18" s="573"/>
      <c r="L18" s="405"/>
      <c r="M18" s="51">
        <v>3</v>
      </c>
      <c r="N18" s="51">
        <v>76239</v>
      </c>
      <c r="O18" s="491" t="s">
        <v>1261</v>
      </c>
      <c r="P18" s="143">
        <v>50</v>
      </c>
      <c r="Q18" s="519"/>
      <c r="R18" s="133"/>
      <c r="S18" s="51">
        <v>3</v>
      </c>
      <c r="T18" s="51">
        <v>76283</v>
      </c>
      <c r="U18" s="491" t="s">
        <v>1147</v>
      </c>
      <c r="V18" s="544">
        <v>250</v>
      </c>
      <c r="W18" s="616"/>
      <c r="X18" s="405"/>
      <c r="Y18" s="51">
        <v>3</v>
      </c>
      <c r="Z18" s="51">
        <v>76323</v>
      </c>
      <c r="AA18" s="491" t="s">
        <v>1156</v>
      </c>
      <c r="AB18" s="597">
        <v>50</v>
      </c>
      <c r="AC18" s="592"/>
      <c r="AD18" s="405"/>
      <c r="AE18" s="516"/>
    </row>
    <row r="19" spans="1:31" ht="16.2" customHeight="1" thickBot="1">
      <c r="A19" s="51">
        <v>3</v>
      </c>
      <c r="B19" s="51">
        <v>76167</v>
      </c>
      <c r="C19" s="450" t="s">
        <v>994</v>
      </c>
      <c r="D19" s="544">
        <v>100</v>
      </c>
      <c r="E19" s="131"/>
      <c r="F19" s="405"/>
      <c r="G19" s="51">
        <v>3</v>
      </c>
      <c r="H19" s="51"/>
      <c r="I19" s="618"/>
      <c r="J19" s="209"/>
      <c r="K19" s="614"/>
      <c r="L19" s="182"/>
      <c r="M19" s="51">
        <v>3</v>
      </c>
      <c r="N19" s="51"/>
      <c r="O19" s="491"/>
      <c r="P19" s="143"/>
      <c r="Q19" s="515"/>
      <c r="R19" s="405"/>
      <c r="S19" s="51">
        <v>3</v>
      </c>
      <c r="T19" s="51">
        <v>76284</v>
      </c>
      <c r="U19" s="491" t="s">
        <v>1543</v>
      </c>
      <c r="V19" s="544">
        <v>100</v>
      </c>
      <c r="W19" s="616"/>
      <c r="X19" s="405"/>
      <c r="Y19" s="51">
        <v>3</v>
      </c>
      <c r="Z19" s="51">
        <v>76325</v>
      </c>
      <c r="AA19" s="491" t="s">
        <v>1157</v>
      </c>
      <c r="AB19" s="544">
        <v>50</v>
      </c>
      <c r="AC19" s="592"/>
      <c r="AD19" s="405"/>
      <c r="AE19" s="516"/>
    </row>
    <row r="20" spans="1:31" ht="16.2" customHeight="1" thickTop="1" thickBot="1">
      <c r="A20" s="51">
        <v>3</v>
      </c>
      <c r="B20" s="51">
        <v>76168</v>
      </c>
      <c r="C20" s="450" t="s">
        <v>1580</v>
      </c>
      <c r="D20" s="544">
        <v>100</v>
      </c>
      <c r="E20" s="131"/>
      <c r="F20" s="132"/>
      <c r="G20" s="51">
        <v>4</v>
      </c>
      <c r="H20" s="51"/>
      <c r="I20" s="595" t="s">
        <v>1001</v>
      </c>
      <c r="J20" s="301">
        <f>SUM(D41:D44,J14:J19)</f>
        <v>900</v>
      </c>
      <c r="K20" s="657"/>
      <c r="L20" s="324">
        <f>SUM(F41:F44,L14:L19)</f>
        <v>0</v>
      </c>
      <c r="M20" s="51">
        <v>3</v>
      </c>
      <c r="N20" s="51"/>
      <c r="O20" s="450"/>
      <c r="P20" s="544"/>
      <c r="Q20" s="519"/>
      <c r="R20" s="133"/>
      <c r="S20" s="51">
        <v>3</v>
      </c>
      <c r="T20" s="51">
        <v>76285</v>
      </c>
      <c r="U20" s="491" t="s">
        <v>1148</v>
      </c>
      <c r="V20" s="544">
        <v>200</v>
      </c>
      <c r="W20" s="515"/>
      <c r="X20" s="405"/>
      <c r="Y20" s="51">
        <v>4</v>
      </c>
      <c r="Z20" s="51"/>
      <c r="AA20" s="551" t="s">
        <v>929</v>
      </c>
      <c r="AB20" s="558">
        <f>SUM(AB14:AB19)</f>
        <v>550</v>
      </c>
      <c r="AC20" s="638"/>
      <c r="AD20" s="311">
        <f>SUM(AD14:AD19)</f>
        <v>0</v>
      </c>
      <c r="AE20" s="516"/>
    </row>
    <row r="21" spans="1:31" ht="16.2" customHeight="1" thickTop="1" thickBot="1">
      <c r="A21" s="51">
        <v>3</v>
      </c>
      <c r="B21" s="51"/>
      <c r="C21" s="450"/>
      <c r="D21" s="544"/>
      <c r="E21" s="131"/>
      <c r="F21" s="132"/>
      <c r="G21" s="51">
        <v>2</v>
      </c>
      <c r="H21" s="488" t="s">
        <v>1405</v>
      </c>
      <c r="I21" s="855" t="s">
        <v>1003</v>
      </c>
      <c r="J21" s="856"/>
      <c r="K21" s="856"/>
      <c r="L21" s="857"/>
      <c r="M21" s="51">
        <v>3</v>
      </c>
      <c r="N21" s="51"/>
      <c r="O21" s="491"/>
      <c r="P21" s="353"/>
      <c r="Q21" s="515"/>
      <c r="R21" s="132"/>
      <c r="S21" s="51">
        <v>3</v>
      </c>
      <c r="T21" s="51">
        <v>76287</v>
      </c>
      <c r="U21" s="491" t="s">
        <v>1149</v>
      </c>
      <c r="V21" s="351">
        <v>450</v>
      </c>
      <c r="W21" s="515"/>
      <c r="X21" s="405"/>
      <c r="Y21" s="51">
        <v>2</v>
      </c>
      <c r="Z21" s="488" t="s">
        <v>1411</v>
      </c>
      <c r="AA21" s="855" t="s">
        <v>357</v>
      </c>
      <c r="AB21" s="858"/>
      <c r="AC21" s="858"/>
      <c r="AD21" s="859"/>
      <c r="AE21" s="516"/>
    </row>
    <row r="22" spans="1:31" ht="16.2" customHeight="1" thickTop="1" thickBot="1">
      <c r="A22" s="51">
        <v>3</v>
      </c>
      <c r="B22" s="51"/>
      <c r="C22" s="545"/>
      <c r="D22" s="208"/>
      <c r="E22" s="135"/>
      <c r="F22" s="133"/>
      <c r="G22" s="51">
        <v>3</v>
      </c>
      <c r="H22" s="51">
        <v>76197</v>
      </c>
      <c r="I22" s="450" t="s">
        <v>1217</v>
      </c>
      <c r="J22" s="352">
        <v>350</v>
      </c>
      <c r="K22" s="543"/>
      <c r="L22" s="404"/>
      <c r="M22" s="51">
        <v>4</v>
      </c>
      <c r="N22" s="51"/>
      <c r="O22" s="658" t="s">
        <v>1010</v>
      </c>
      <c r="P22" s="301">
        <f>SUM(P14:P21)</f>
        <v>950</v>
      </c>
      <c r="Q22" s="579"/>
      <c r="R22" s="308">
        <f>SUM(R14:R21)</f>
        <v>0</v>
      </c>
      <c r="S22" s="51">
        <v>3</v>
      </c>
      <c r="T22" s="51">
        <v>76289</v>
      </c>
      <c r="U22" s="491" t="s">
        <v>1502</v>
      </c>
      <c r="V22" s="544">
        <v>350</v>
      </c>
      <c r="W22" s="515"/>
      <c r="X22" s="405"/>
      <c r="Y22" s="51">
        <v>3</v>
      </c>
      <c r="Z22" s="51">
        <v>76327</v>
      </c>
      <c r="AA22" s="448" t="s">
        <v>1549</v>
      </c>
      <c r="AB22" s="143">
        <v>1050</v>
      </c>
      <c r="AC22" s="184"/>
      <c r="AD22" s="404"/>
      <c r="AE22" s="516"/>
    </row>
    <row r="23" spans="1:31" ht="16.2" customHeight="1" thickTop="1" thickBot="1">
      <c r="A23" s="51">
        <v>3</v>
      </c>
      <c r="B23" s="51"/>
      <c r="C23" s="555"/>
      <c r="D23" s="556"/>
      <c r="E23" s="556"/>
      <c r="F23" s="182"/>
      <c r="G23" s="51">
        <v>3</v>
      </c>
      <c r="H23" s="51">
        <v>76199</v>
      </c>
      <c r="I23" s="491" t="s">
        <v>1364</v>
      </c>
      <c r="J23" s="143">
        <v>200</v>
      </c>
      <c r="K23" s="515"/>
      <c r="L23" s="405"/>
      <c r="M23" s="51">
        <v>2</v>
      </c>
      <c r="N23" s="488" t="s">
        <v>1408</v>
      </c>
      <c r="O23" s="855" t="s">
        <v>1011</v>
      </c>
      <c r="P23" s="858"/>
      <c r="Q23" s="858"/>
      <c r="R23" s="859"/>
      <c r="S23" s="51">
        <v>3</v>
      </c>
      <c r="T23" s="51">
        <v>76291</v>
      </c>
      <c r="U23" s="491" t="s">
        <v>1150</v>
      </c>
      <c r="V23" s="351">
        <v>100</v>
      </c>
      <c r="W23" s="515"/>
      <c r="X23" s="405"/>
      <c r="Y23" s="51">
        <v>3</v>
      </c>
      <c r="Z23" s="51">
        <v>76330</v>
      </c>
      <c r="AA23" s="448" t="s">
        <v>1633</v>
      </c>
      <c r="AB23" s="759">
        <v>300</v>
      </c>
      <c r="AC23" s="131"/>
      <c r="AD23" s="405"/>
      <c r="AE23" s="516"/>
    </row>
    <row r="24" spans="1:31" ht="16.2" customHeight="1" thickTop="1" thickBot="1">
      <c r="A24" s="51">
        <v>4</v>
      </c>
      <c r="B24" s="51"/>
      <c r="C24" s="658" t="s">
        <v>995</v>
      </c>
      <c r="D24" s="557">
        <f>SUM(D14:D23)</f>
        <v>1200</v>
      </c>
      <c r="E24" s="305"/>
      <c r="F24" s="308">
        <f>SUM(F14:F23)</f>
        <v>0</v>
      </c>
      <c r="G24" s="51">
        <v>3</v>
      </c>
      <c r="H24" s="51">
        <v>76201</v>
      </c>
      <c r="I24" s="491" t="s">
        <v>1004</v>
      </c>
      <c r="J24" s="143">
        <v>300</v>
      </c>
      <c r="K24" s="515"/>
      <c r="L24" s="405"/>
      <c r="M24" s="51">
        <v>3</v>
      </c>
      <c r="N24" s="51">
        <v>76243</v>
      </c>
      <c r="O24" s="450" t="s">
        <v>1012</v>
      </c>
      <c r="P24" s="143">
        <v>100</v>
      </c>
      <c r="Q24" s="515"/>
      <c r="R24" s="405"/>
      <c r="S24" s="51">
        <v>3</v>
      </c>
      <c r="T24" s="51">
        <v>76293</v>
      </c>
      <c r="U24" s="491" t="s">
        <v>1151</v>
      </c>
      <c r="V24" s="351">
        <v>100</v>
      </c>
      <c r="W24" s="131"/>
      <c r="X24" s="405"/>
      <c r="Y24" s="51">
        <v>3</v>
      </c>
      <c r="Z24" s="51"/>
      <c r="AA24" s="491"/>
      <c r="AB24" s="143"/>
      <c r="AC24" s="131"/>
      <c r="AD24" s="405"/>
      <c r="AE24" s="516"/>
    </row>
    <row r="25" spans="1:31" ht="16.2" customHeight="1" thickTop="1" thickBot="1">
      <c r="A25" s="51">
        <v>2</v>
      </c>
      <c r="B25" s="488" t="s">
        <v>1402</v>
      </c>
      <c r="C25" s="855" t="s">
        <v>999</v>
      </c>
      <c r="D25" s="856"/>
      <c r="E25" s="856"/>
      <c r="F25" s="857"/>
      <c r="G25" s="51">
        <v>3</v>
      </c>
      <c r="H25" s="51">
        <v>76203</v>
      </c>
      <c r="I25" s="491" t="s">
        <v>1139</v>
      </c>
      <c r="J25" s="143">
        <v>100</v>
      </c>
      <c r="K25" s="515"/>
      <c r="L25" s="405"/>
      <c r="M25" s="51">
        <v>3</v>
      </c>
      <c r="N25" s="51">
        <v>76247</v>
      </c>
      <c r="O25" s="450" t="s">
        <v>1013</v>
      </c>
      <c r="P25" s="143">
        <v>150</v>
      </c>
      <c r="Q25" s="515"/>
      <c r="R25" s="405"/>
      <c r="S25" s="51">
        <v>3</v>
      </c>
      <c r="T25" s="51">
        <v>76294</v>
      </c>
      <c r="U25" s="491" t="s">
        <v>1595</v>
      </c>
      <c r="V25" s="759">
        <v>650</v>
      </c>
      <c r="W25" s="634"/>
      <c r="X25" s="405"/>
      <c r="Y25" s="51">
        <v>4</v>
      </c>
      <c r="Z25" s="51"/>
      <c r="AA25" s="551" t="s">
        <v>319</v>
      </c>
      <c r="AB25" s="301">
        <f>SUM(AB22:AB24)</f>
        <v>1350</v>
      </c>
      <c r="AC25" s="305"/>
      <c r="AD25" s="308">
        <f>SUM(AD22:AD24)</f>
        <v>0</v>
      </c>
      <c r="AE25" s="560"/>
    </row>
    <row r="26" spans="1:31" ht="16.2" customHeight="1" thickTop="1">
      <c r="A26" s="51">
        <v>3</v>
      </c>
      <c r="B26" s="51">
        <v>76169</v>
      </c>
      <c r="C26" s="450" t="s">
        <v>1271</v>
      </c>
      <c r="D26" s="148">
        <v>650</v>
      </c>
      <c r="E26" s="130"/>
      <c r="F26" s="404"/>
      <c r="G26" s="51">
        <v>3</v>
      </c>
      <c r="H26" s="51">
        <v>76207</v>
      </c>
      <c r="I26" s="491" t="s">
        <v>1005</v>
      </c>
      <c r="J26" s="143">
        <v>300</v>
      </c>
      <c r="K26" s="515"/>
      <c r="L26" s="405"/>
      <c r="M26" s="51">
        <v>3</v>
      </c>
      <c r="N26" s="51">
        <v>76249</v>
      </c>
      <c r="O26" s="491" t="s">
        <v>1561</v>
      </c>
      <c r="P26" s="143">
        <v>400</v>
      </c>
      <c r="Q26" s="515"/>
      <c r="R26" s="405"/>
      <c r="S26" s="51">
        <v>3</v>
      </c>
      <c r="T26" s="51">
        <v>76296</v>
      </c>
      <c r="U26" s="491" t="s">
        <v>1596</v>
      </c>
      <c r="V26" s="149">
        <v>900</v>
      </c>
      <c r="W26" s="634"/>
      <c r="X26" s="405"/>
      <c r="Y26" s="51">
        <v>2</v>
      </c>
      <c r="Z26" s="488" t="s">
        <v>1455</v>
      </c>
      <c r="AA26" s="855" t="s">
        <v>320</v>
      </c>
      <c r="AB26" s="858"/>
      <c r="AC26" s="858"/>
      <c r="AD26" s="859"/>
      <c r="AE26" s="560"/>
    </row>
    <row r="27" spans="1:31" ht="16.2" customHeight="1">
      <c r="A27" s="51">
        <v>3</v>
      </c>
      <c r="B27" s="51">
        <v>76171</v>
      </c>
      <c r="C27" s="457" t="s">
        <v>1256</v>
      </c>
      <c r="D27" s="353">
        <v>650</v>
      </c>
      <c r="E27" s="135"/>
      <c r="F27" s="405"/>
      <c r="G27" s="51">
        <v>3</v>
      </c>
      <c r="H27" s="51">
        <v>76209</v>
      </c>
      <c r="I27" s="491" t="s">
        <v>1006</v>
      </c>
      <c r="J27" s="143">
        <v>200</v>
      </c>
      <c r="K27" s="515"/>
      <c r="L27" s="405"/>
      <c r="M27" s="51">
        <v>3</v>
      </c>
      <c r="N27" s="51">
        <v>76253</v>
      </c>
      <c r="O27" s="450" t="s">
        <v>1560</v>
      </c>
      <c r="P27" s="143">
        <v>50</v>
      </c>
      <c r="Q27" s="515"/>
      <c r="R27" s="405"/>
      <c r="S27" s="51">
        <v>3</v>
      </c>
      <c r="T27" s="51">
        <v>76297</v>
      </c>
      <c r="U27" s="491" t="s">
        <v>1018</v>
      </c>
      <c r="V27" s="544">
        <v>1200</v>
      </c>
      <c r="W27" s="131"/>
      <c r="X27" s="405"/>
      <c r="Y27" s="51">
        <v>3</v>
      </c>
      <c r="Z27" s="51">
        <v>76331</v>
      </c>
      <c r="AA27" s="448" t="s">
        <v>1020</v>
      </c>
      <c r="AB27" s="143">
        <v>200</v>
      </c>
      <c r="AC27" s="131"/>
      <c r="AD27" s="404"/>
      <c r="AE27" s="516"/>
    </row>
    <row r="28" spans="1:31" ht="16.2" customHeight="1">
      <c r="A28" s="51">
        <v>3</v>
      </c>
      <c r="B28" s="51">
        <v>76173</v>
      </c>
      <c r="C28" s="491" t="s">
        <v>998</v>
      </c>
      <c r="D28" s="143">
        <v>50</v>
      </c>
      <c r="E28" s="135"/>
      <c r="F28" s="405"/>
      <c r="G28" s="51">
        <v>3</v>
      </c>
      <c r="H28" s="51">
        <v>76211</v>
      </c>
      <c r="I28" s="491" t="s">
        <v>816</v>
      </c>
      <c r="J28" s="351">
        <v>100</v>
      </c>
      <c r="K28" s="515"/>
      <c r="L28" s="405"/>
      <c r="M28" s="51">
        <v>3</v>
      </c>
      <c r="N28" s="51">
        <v>76255</v>
      </c>
      <c r="O28" s="450" t="s">
        <v>1014</v>
      </c>
      <c r="P28" s="544">
        <v>150</v>
      </c>
      <c r="Q28" s="519"/>
      <c r="R28" s="405"/>
      <c r="S28" s="51">
        <v>3</v>
      </c>
      <c r="T28" s="51">
        <v>76299</v>
      </c>
      <c r="U28" s="450" t="s">
        <v>1152</v>
      </c>
      <c r="V28" s="352">
        <v>400</v>
      </c>
      <c r="W28" s="131"/>
      <c r="X28" s="405"/>
      <c r="Y28" s="51">
        <v>3</v>
      </c>
      <c r="Z28" s="51">
        <v>76333</v>
      </c>
      <c r="AA28" s="448" t="s">
        <v>1629</v>
      </c>
      <c r="AB28" s="143">
        <v>550</v>
      </c>
      <c r="AC28" s="131"/>
      <c r="AD28" s="405"/>
      <c r="AE28" s="516"/>
    </row>
    <row r="29" spans="1:31" ht="16.2" customHeight="1">
      <c r="A29" s="51">
        <v>3</v>
      </c>
      <c r="B29" s="51"/>
      <c r="C29" s="491"/>
      <c r="D29" s="143"/>
      <c r="E29" s="573"/>
      <c r="F29" s="405"/>
      <c r="G29" s="51">
        <v>3</v>
      </c>
      <c r="H29" s="51">
        <v>76213</v>
      </c>
      <c r="I29" s="393" t="s">
        <v>1140</v>
      </c>
      <c r="J29" s="143">
        <v>100</v>
      </c>
      <c r="K29" s="515"/>
      <c r="L29" s="405"/>
      <c r="M29" s="51">
        <v>3</v>
      </c>
      <c r="N29" s="51">
        <v>76257</v>
      </c>
      <c r="O29" s="491" t="s">
        <v>1104</v>
      </c>
      <c r="P29" s="353">
        <v>100</v>
      </c>
      <c r="Q29" s="519"/>
      <c r="R29" s="405"/>
      <c r="S29" s="51">
        <v>3</v>
      </c>
      <c r="T29" s="51">
        <v>76301</v>
      </c>
      <c r="U29" s="450" t="s">
        <v>1112</v>
      </c>
      <c r="V29" s="352">
        <v>500</v>
      </c>
      <c r="W29" s="131"/>
      <c r="X29" s="405"/>
      <c r="Y29" s="51">
        <v>3</v>
      </c>
      <c r="Z29" s="51">
        <v>76335</v>
      </c>
      <c r="AA29" s="448" t="s">
        <v>1021</v>
      </c>
      <c r="AB29" s="446" t="s">
        <v>1566</v>
      </c>
      <c r="AC29" s="131"/>
      <c r="AD29" s="405"/>
      <c r="AE29" s="516"/>
    </row>
    <row r="30" spans="1:31" ht="16.2" customHeight="1" thickBot="1">
      <c r="A30" s="51">
        <v>3</v>
      </c>
      <c r="B30" s="51"/>
      <c r="C30" s="554"/>
      <c r="D30" s="519"/>
      <c r="E30" s="519"/>
      <c r="F30" s="164"/>
      <c r="G30" s="51">
        <v>3</v>
      </c>
      <c r="H30" s="51">
        <v>76215</v>
      </c>
      <c r="I30" s="491" t="s">
        <v>1141</v>
      </c>
      <c r="J30" s="446" t="s">
        <v>1609</v>
      </c>
      <c r="K30" s="515"/>
      <c r="L30" s="405"/>
      <c r="M30" s="51">
        <v>3</v>
      </c>
      <c r="N30" s="51">
        <v>76259</v>
      </c>
      <c r="O30" s="450" t="s">
        <v>1015</v>
      </c>
      <c r="P30" s="143">
        <v>150</v>
      </c>
      <c r="Q30" s="519"/>
      <c r="R30" s="405"/>
      <c r="S30" s="51">
        <v>3</v>
      </c>
      <c r="T30" s="51">
        <v>76303</v>
      </c>
      <c r="U30" s="450" t="s">
        <v>1277</v>
      </c>
      <c r="V30" s="143">
        <v>150</v>
      </c>
      <c r="W30" s="131"/>
      <c r="X30" s="405"/>
      <c r="Y30" s="51">
        <v>3</v>
      </c>
      <c r="Z30" s="51">
        <v>76337</v>
      </c>
      <c r="AA30" s="442" t="s">
        <v>1022</v>
      </c>
      <c r="AB30" s="143">
        <v>800</v>
      </c>
      <c r="AC30" s="131"/>
      <c r="AD30" s="405"/>
      <c r="AE30" s="516"/>
    </row>
    <row r="31" spans="1:31" ht="16.2" customHeight="1" thickTop="1" thickBot="1">
      <c r="A31" s="51">
        <v>4</v>
      </c>
      <c r="B31" s="51"/>
      <c r="C31" s="595" t="s">
        <v>999</v>
      </c>
      <c r="D31" s="558">
        <f>SUM(D26:D30)</f>
        <v>1350</v>
      </c>
      <c r="E31" s="552"/>
      <c r="F31" s="324">
        <f>SUM(F26:F30)</f>
        <v>0</v>
      </c>
      <c r="G31" s="51">
        <v>3</v>
      </c>
      <c r="H31" s="51">
        <v>76217</v>
      </c>
      <c r="I31" s="457" t="s">
        <v>1231</v>
      </c>
      <c r="J31" s="353">
        <v>150</v>
      </c>
      <c r="K31" s="515"/>
      <c r="L31" s="405"/>
      <c r="M31" s="51">
        <v>3</v>
      </c>
      <c r="N31" s="51">
        <v>76260</v>
      </c>
      <c r="O31" s="450" t="s">
        <v>1569</v>
      </c>
      <c r="P31" s="544">
        <v>100</v>
      </c>
      <c r="Q31" s="515"/>
      <c r="R31" s="405"/>
      <c r="S31" s="51">
        <v>3</v>
      </c>
      <c r="T31" s="51">
        <v>76305</v>
      </c>
      <c r="U31" s="450" t="s">
        <v>1489</v>
      </c>
      <c r="V31" s="143">
        <v>350</v>
      </c>
      <c r="W31" s="515"/>
      <c r="X31" s="405"/>
      <c r="Y31" s="51">
        <v>3</v>
      </c>
      <c r="Z31" s="51">
        <v>76338</v>
      </c>
      <c r="AA31" s="448" t="s">
        <v>1486</v>
      </c>
      <c r="AB31" s="446" t="s">
        <v>1566</v>
      </c>
      <c r="AC31" s="131"/>
      <c r="AD31" s="405"/>
      <c r="AE31" s="516"/>
    </row>
    <row r="32" spans="1:31" ht="16.2" customHeight="1" thickTop="1">
      <c r="A32" s="51">
        <v>2</v>
      </c>
      <c r="B32" s="488" t="s">
        <v>1403</v>
      </c>
      <c r="C32" s="849" t="s">
        <v>1000</v>
      </c>
      <c r="D32" s="850"/>
      <c r="E32" s="850"/>
      <c r="F32" s="851"/>
      <c r="G32" s="51">
        <v>3</v>
      </c>
      <c r="H32" s="51"/>
      <c r="I32" s="457"/>
      <c r="J32" s="353"/>
      <c r="K32" s="515"/>
      <c r="L32" s="405"/>
      <c r="M32" s="51">
        <v>3</v>
      </c>
      <c r="N32" s="51">
        <v>76261</v>
      </c>
      <c r="O32" s="450" t="s">
        <v>1144</v>
      </c>
      <c r="P32" s="544">
        <v>50</v>
      </c>
      <c r="Q32" s="515"/>
      <c r="R32" s="405"/>
      <c r="S32" s="51">
        <v>3</v>
      </c>
      <c r="T32" s="51">
        <v>76307</v>
      </c>
      <c r="U32" s="491" t="s">
        <v>1019</v>
      </c>
      <c r="V32" s="143">
        <v>150</v>
      </c>
      <c r="W32" s="543"/>
      <c r="X32" s="405"/>
      <c r="Y32" s="51">
        <v>3</v>
      </c>
      <c r="Z32" s="51">
        <v>76340</v>
      </c>
      <c r="AA32" s="448" t="s">
        <v>1487</v>
      </c>
      <c r="AB32" s="446" t="s">
        <v>1566</v>
      </c>
      <c r="AC32" s="131"/>
      <c r="AD32" s="405"/>
      <c r="AE32" s="516"/>
    </row>
    <row r="33" spans="1:31" ht="16.2" customHeight="1">
      <c r="A33" s="51">
        <v>3</v>
      </c>
      <c r="B33" s="51">
        <v>76175</v>
      </c>
      <c r="C33" s="491" t="s">
        <v>1325</v>
      </c>
      <c r="D33" s="583">
        <v>400</v>
      </c>
      <c r="E33" s="588"/>
      <c r="F33" s="404"/>
      <c r="G33" s="51">
        <v>3</v>
      </c>
      <c r="H33" s="51"/>
      <c r="I33" s="457"/>
      <c r="J33" s="353"/>
      <c r="K33" s="519"/>
      <c r="L33" s="405"/>
      <c r="M33" s="51">
        <v>3</v>
      </c>
      <c r="N33" s="51"/>
      <c r="O33" s="450"/>
      <c r="P33" s="544"/>
      <c r="Q33" s="515"/>
      <c r="R33" s="405"/>
      <c r="S33" s="51">
        <v>3</v>
      </c>
      <c r="T33" s="51">
        <v>76309</v>
      </c>
      <c r="U33" s="491" t="s">
        <v>1082</v>
      </c>
      <c r="V33" s="143">
        <v>450</v>
      </c>
      <c r="W33" s="261"/>
      <c r="X33" s="405"/>
      <c r="Y33" s="51">
        <v>3</v>
      </c>
      <c r="Z33" s="51">
        <v>76341</v>
      </c>
      <c r="AA33" s="442" t="s">
        <v>1268</v>
      </c>
      <c r="AB33" s="351">
        <v>650</v>
      </c>
      <c r="AC33" s="515"/>
      <c r="AD33" s="405"/>
      <c r="AE33" s="560"/>
    </row>
    <row r="34" spans="1:31" ht="16.2" customHeight="1" thickBot="1">
      <c r="A34" s="51">
        <v>3</v>
      </c>
      <c r="B34" s="51">
        <v>76177</v>
      </c>
      <c r="C34" s="491" t="s">
        <v>1463</v>
      </c>
      <c r="D34" s="544">
        <v>900</v>
      </c>
      <c r="E34" s="515"/>
      <c r="F34" s="405"/>
      <c r="G34" s="51">
        <v>3</v>
      </c>
      <c r="H34" s="51"/>
      <c r="I34" s="457"/>
      <c r="J34" s="353"/>
      <c r="K34" s="519"/>
      <c r="L34" s="241"/>
      <c r="M34" s="51">
        <v>3</v>
      </c>
      <c r="N34" s="51"/>
      <c r="O34" s="450"/>
      <c r="P34" s="446"/>
      <c r="Q34" s="515"/>
      <c r="R34" s="405"/>
      <c r="S34" s="51">
        <v>3</v>
      </c>
      <c r="T34" s="51"/>
      <c r="U34" s="491"/>
      <c r="V34" s="143"/>
      <c r="W34" s="261"/>
      <c r="X34" s="405"/>
      <c r="Y34" s="51">
        <v>3</v>
      </c>
      <c r="Z34" s="51">
        <v>76343</v>
      </c>
      <c r="AA34" s="442" t="s">
        <v>1158</v>
      </c>
      <c r="AB34" s="351">
        <v>150</v>
      </c>
      <c r="AC34" s="515"/>
      <c r="AD34" s="405"/>
      <c r="AE34" s="516"/>
    </row>
    <row r="35" spans="1:31" ht="16.2" customHeight="1" thickTop="1" thickBot="1">
      <c r="A35" s="51">
        <v>3</v>
      </c>
      <c r="B35" s="51">
        <v>76179</v>
      </c>
      <c r="C35" s="454" t="s">
        <v>1344</v>
      </c>
      <c r="D35" s="352">
        <v>150</v>
      </c>
      <c r="E35" s="543"/>
      <c r="F35" s="405"/>
      <c r="G35" s="51">
        <v>4</v>
      </c>
      <c r="H35" s="51"/>
      <c r="I35" s="660" t="s">
        <v>1003</v>
      </c>
      <c r="J35" s="661">
        <f>SUM(J22:J34)</f>
        <v>1800</v>
      </c>
      <c r="K35" s="662"/>
      <c r="L35" s="326">
        <f>SUM(L22:L34)</f>
        <v>0</v>
      </c>
      <c r="M35" s="51">
        <v>4</v>
      </c>
      <c r="N35" s="51"/>
      <c r="O35" s="551" t="s">
        <v>1016</v>
      </c>
      <c r="P35" s="659">
        <f>SUM(P24:P33)</f>
        <v>1250</v>
      </c>
      <c r="Q35" s="302"/>
      <c r="R35" s="324">
        <f>SUM(R24:R34)</f>
        <v>0</v>
      </c>
      <c r="S35" s="51">
        <v>3</v>
      </c>
      <c r="T35" s="51"/>
      <c r="U35" s="491"/>
      <c r="V35" s="143"/>
      <c r="W35" s="596"/>
      <c r="X35" s="405"/>
      <c r="Y35" s="51">
        <v>3</v>
      </c>
      <c r="Z35" s="51">
        <v>76345</v>
      </c>
      <c r="AA35" s="491" t="s">
        <v>1159</v>
      </c>
      <c r="AB35" s="351">
        <v>300</v>
      </c>
      <c r="AC35" s="515"/>
      <c r="AD35" s="405"/>
      <c r="AE35" s="516"/>
    </row>
    <row r="36" spans="1:31" ht="16.2" customHeight="1" thickTop="1">
      <c r="A36" s="51">
        <v>3</v>
      </c>
      <c r="B36" s="51">
        <v>76181</v>
      </c>
      <c r="C36" s="491" t="s">
        <v>1384</v>
      </c>
      <c r="D36" s="352">
        <v>50</v>
      </c>
      <c r="E36" s="515"/>
      <c r="F36" s="405"/>
      <c r="G36" s="51">
        <v>2</v>
      </c>
      <c r="H36" s="488" t="s">
        <v>1406</v>
      </c>
      <c r="I36" s="855" t="s">
        <v>1007</v>
      </c>
      <c r="J36" s="858"/>
      <c r="K36" s="862"/>
      <c r="L36" s="859"/>
      <c r="M36" s="51">
        <v>9</v>
      </c>
      <c r="N36" s="51"/>
      <c r="O36" s="491"/>
      <c r="P36" s="143"/>
      <c r="Q36" s="515"/>
      <c r="R36" s="132"/>
      <c r="S36" s="51">
        <v>3</v>
      </c>
      <c r="T36" s="51"/>
      <c r="U36" s="491"/>
      <c r="V36" s="143"/>
      <c r="W36" s="596"/>
      <c r="X36" s="405"/>
      <c r="Y36" s="51">
        <v>3</v>
      </c>
      <c r="Z36" s="51">
        <v>76347</v>
      </c>
      <c r="AA36" s="458" t="s">
        <v>1296</v>
      </c>
      <c r="AB36" s="351">
        <v>50</v>
      </c>
      <c r="AC36" s="515"/>
      <c r="AD36" s="405"/>
      <c r="AE36" s="516"/>
    </row>
    <row r="37" spans="1:31" ht="16.2" customHeight="1">
      <c r="A37" s="51">
        <v>3</v>
      </c>
      <c r="B37" s="51"/>
      <c r="C37" s="454"/>
      <c r="D37" s="352"/>
      <c r="E37" s="573"/>
      <c r="F37" s="405"/>
      <c r="G37" s="51">
        <v>3</v>
      </c>
      <c r="H37" s="51">
        <v>76219</v>
      </c>
      <c r="I37" s="450" t="s">
        <v>1118</v>
      </c>
      <c r="J37" s="585">
        <v>450</v>
      </c>
      <c r="K37" s="582"/>
      <c r="L37" s="404"/>
      <c r="M37" s="51"/>
      <c r="N37" s="51"/>
      <c r="O37" s="393"/>
      <c r="P37" s="353"/>
      <c r="Q37" s="519"/>
      <c r="R37" s="133"/>
      <c r="S37" s="51">
        <v>3</v>
      </c>
      <c r="T37" s="51"/>
      <c r="U37" s="491"/>
      <c r="V37" s="143"/>
      <c r="W37" s="596"/>
      <c r="X37" s="405"/>
      <c r="Y37" s="51">
        <v>3</v>
      </c>
      <c r="Z37" s="51"/>
      <c r="AA37" s="491"/>
      <c r="AB37" s="351"/>
      <c r="AC37" s="131"/>
      <c r="AD37" s="405"/>
      <c r="AE37" s="516"/>
    </row>
    <row r="38" spans="1:31" ht="16.2" customHeight="1" thickBot="1">
      <c r="A38" s="51">
        <v>3</v>
      </c>
      <c r="B38" s="51"/>
      <c r="C38" s="545"/>
      <c r="D38" s="139"/>
      <c r="E38" s="573"/>
      <c r="F38" s="405"/>
      <c r="G38" s="51">
        <v>3</v>
      </c>
      <c r="H38" s="51">
        <v>76221</v>
      </c>
      <c r="I38" s="491" t="s">
        <v>1100</v>
      </c>
      <c r="J38" s="586">
        <v>200</v>
      </c>
      <c r="K38" s="549"/>
      <c r="L38" s="405"/>
      <c r="M38" s="51"/>
      <c r="N38" s="51"/>
      <c r="O38" s="450"/>
      <c r="P38" s="143"/>
      <c r="Q38" s="515"/>
      <c r="R38" s="163"/>
      <c r="S38" s="51">
        <v>3</v>
      </c>
      <c r="T38" s="51"/>
      <c r="U38" s="491"/>
      <c r="V38" s="143"/>
      <c r="W38" s="596"/>
      <c r="X38" s="405"/>
      <c r="Y38" s="51">
        <v>4</v>
      </c>
      <c r="Z38" s="51"/>
      <c r="AA38" s="444"/>
      <c r="AB38" s="143"/>
      <c r="AC38" s="304"/>
      <c r="AD38" s="405"/>
      <c r="AE38" s="516"/>
    </row>
    <row r="39" spans="1:31" ht="16.2" customHeight="1" thickTop="1" thickBot="1">
      <c r="A39" s="51">
        <v>4</v>
      </c>
      <c r="B39" s="51"/>
      <c r="C39" s="595" t="s">
        <v>1000</v>
      </c>
      <c r="D39" s="301">
        <f>SUM(D33:D38)</f>
        <v>1500</v>
      </c>
      <c r="E39" s="564"/>
      <c r="F39" s="308">
        <f>SUM(F33:F38)</f>
        <v>0</v>
      </c>
      <c r="G39" s="51">
        <v>3</v>
      </c>
      <c r="H39" s="51">
        <v>76225</v>
      </c>
      <c r="I39" s="491" t="s">
        <v>1581</v>
      </c>
      <c r="J39" s="620">
        <v>250</v>
      </c>
      <c r="K39" s="519"/>
      <c r="L39" s="405"/>
      <c r="M39" s="51"/>
      <c r="N39" s="51"/>
      <c r="O39" s="450"/>
      <c r="P39" s="544"/>
      <c r="Q39" s="515"/>
      <c r="R39" s="323"/>
      <c r="S39" s="51">
        <v>3</v>
      </c>
      <c r="T39" s="51"/>
      <c r="U39" s="491"/>
      <c r="V39" s="143"/>
      <c r="W39" s="596"/>
      <c r="X39" s="405"/>
      <c r="Y39" s="51">
        <v>9</v>
      </c>
      <c r="Z39" s="51"/>
      <c r="AA39" s="551" t="s">
        <v>320</v>
      </c>
      <c r="AB39" s="621">
        <f>SUM(AB27:AB38)</f>
        <v>2700</v>
      </c>
      <c r="AC39" s="305"/>
      <c r="AD39" s="308">
        <f>SUM(AD27:AD38)</f>
        <v>0</v>
      </c>
      <c r="AE39" s="516"/>
    </row>
    <row r="40" spans="1:31" ht="16.2" customHeight="1" thickTop="1">
      <c r="A40" s="51">
        <v>3</v>
      </c>
      <c r="B40" s="488"/>
      <c r="C40" s="770"/>
      <c r="D40" s="764"/>
      <c r="E40" s="764"/>
      <c r="F40" s="765"/>
      <c r="G40" s="51">
        <v>3</v>
      </c>
      <c r="H40" s="51">
        <v>76227</v>
      </c>
      <c r="I40" s="491" t="s">
        <v>1582</v>
      </c>
      <c r="J40" s="544">
        <v>200</v>
      </c>
      <c r="K40" s="515"/>
      <c r="L40" s="405"/>
      <c r="M40" s="51"/>
      <c r="N40" s="51"/>
      <c r="O40" s="554"/>
      <c r="P40" s="208"/>
      <c r="Q40" s="519"/>
      <c r="R40" s="133"/>
      <c r="S40" s="51">
        <v>3</v>
      </c>
      <c r="T40" s="51"/>
      <c r="U40" s="491"/>
      <c r="V40" s="143"/>
      <c r="W40" s="596"/>
      <c r="X40" s="405"/>
      <c r="Y40" s="51"/>
      <c r="Z40" s="51"/>
      <c r="AA40" s="450"/>
      <c r="AB40" s="663"/>
      <c r="AC40" s="184"/>
      <c r="AD40" s="396"/>
      <c r="AE40" s="560"/>
    </row>
    <row r="41" spans="1:31" ht="16.2" customHeight="1">
      <c r="A41" s="51">
        <v>3</v>
      </c>
      <c r="B41" s="51"/>
      <c r="C41" s="640"/>
      <c r="D41" s="352"/>
      <c r="E41" s="543"/>
      <c r="F41" s="396"/>
      <c r="G41" s="51">
        <v>3</v>
      </c>
      <c r="H41" s="51">
        <v>76229</v>
      </c>
      <c r="I41" s="491" t="s">
        <v>1359</v>
      </c>
      <c r="J41" s="623">
        <v>50</v>
      </c>
      <c r="K41" s="515"/>
      <c r="L41" s="405"/>
      <c r="M41" s="51"/>
      <c r="N41" s="51"/>
      <c r="O41" s="491"/>
      <c r="P41" s="664"/>
      <c r="Q41" s="395"/>
      <c r="R41" s="74"/>
      <c r="S41" s="51">
        <v>3</v>
      </c>
      <c r="T41" s="51"/>
      <c r="U41" s="491"/>
      <c r="V41" s="143"/>
      <c r="W41" s="639"/>
      <c r="X41" s="405"/>
      <c r="Y41" s="51"/>
      <c r="Z41" s="51"/>
      <c r="AA41" s="553"/>
      <c r="AB41" s="665"/>
      <c r="AC41" s="543"/>
      <c r="AD41" s="666"/>
      <c r="AE41" s="560"/>
    </row>
    <row r="42" spans="1:31" ht="16.2" customHeight="1" thickBot="1">
      <c r="A42" s="51">
        <v>3</v>
      </c>
      <c r="B42" s="51"/>
      <c r="C42" s="442"/>
      <c r="D42" s="620"/>
      <c r="E42" s="515"/>
      <c r="F42" s="405"/>
      <c r="G42" s="51">
        <v>3</v>
      </c>
      <c r="H42" s="51">
        <v>76231</v>
      </c>
      <c r="I42" s="491" t="s">
        <v>1232</v>
      </c>
      <c r="J42" s="623">
        <v>50</v>
      </c>
      <c r="K42" s="543"/>
      <c r="L42" s="405"/>
      <c r="M42" s="51"/>
      <c r="N42" s="51"/>
      <c r="O42" s="667"/>
      <c r="P42" s="543"/>
      <c r="Q42" s="543"/>
      <c r="R42" s="666"/>
      <c r="S42" s="51">
        <v>3</v>
      </c>
      <c r="T42" s="51"/>
      <c r="U42" s="491"/>
      <c r="V42" s="143"/>
      <c r="W42" s="639"/>
      <c r="X42" s="453"/>
      <c r="Y42" s="51"/>
      <c r="Z42" s="51"/>
      <c r="AA42" s="561"/>
      <c r="AB42" s="515"/>
      <c r="AC42" s="515"/>
      <c r="AD42" s="550"/>
      <c r="AE42" s="560"/>
    </row>
    <row r="43" spans="1:31" ht="16.2" customHeight="1" thickTop="1" thickBot="1">
      <c r="A43" s="51">
        <v>3</v>
      </c>
      <c r="B43" s="51"/>
      <c r="C43" s="442"/>
      <c r="D43" s="620"/>
      <c r="E43" s="573"/>
      <c r="F43" s="405"/>
      <c r="G43" s="51">
        <v>3</v>
      </c>
      <c r="H43" s="51"/>
      <c r="I43" s="491"/>
      <c r="J43" s="623"/>
      <c r="K43" s="543"/>
      <c r="L43" s="405"/>
      <c r="M43" s="51"/>
      <c r="N43" s="51"/>
      <c r="O43" s="561"/>
      <c r="P43" s="515"/>
      <c r="Q43" s="515"/>
      <c r="R43" s="550"/>
      <c r="S43" s="51">
        <v>4</v>
      </c>
      <c r="T43" s="51"/>
      <c r="U43" s="551" t="s">
        <v>318</v>
      </c>
      <c r="V43" s="301">
        <f>SUM(V14:V42)</f>
        <v>7100</v>
      </c>
      <c r="W43" s="589"/>
      <c r="X43" s="308">
        <f>SUM(X14:X42)</f>
        <v>0</v>
      </c>
      <c r="Y43" s="51"/>
      <c r="Z43" s="51"/>
      <c r="AA43" s="561"/>
      <c r="AB43" s="515"/>
      <c r="AC43" s="515"/>
      <c r="AD43" s="550"/>
      <c r="AE43" s="560"/>
    </row>
    <row r="44" spans="1:31" ht="16.2" customHeight="1" thickTop="1">
      <c r="A44" s="51">
        <v>3</v>
      </c>
      <c r="B44" s="51"/>
      <c r="C44" s="668"/>
      <c r="D44" s="669"/>
      <c r="E44" s="670"/>
      <c r="F44" s="421"/>
      <c r="G44" s="51">
        <v>4</v>
      </c>
      <c r="H44" s="51"/>
      <c r="I44" s="671" t="s">
        <v>1008</v>
      </c>
      <c r="J44" s="27">
        <f>SUM(J37:J42)</f>
        <v>1200</v>
      </c>
      <c r="K44" s="627"/>
      <c r="L44" s="394">
        <f>SUM(L37:L42)</f>
        <v>0</v>
      </c>
      <c r="M44" s="51"/>
      <c r="N44" s="51"/>
      <c r="O44" s="606"/>
      <c r="P44" s="566"/>
      <c r="Q44" s="566"/>
      <c r="R44" s="567"/>
      <c r="S44" s="51">
        <v>9</v>
      </c>
      <c r="T44" s="51"/>
      <c r="U44" s="565"/>
      <c r="V44" s="624"/>
      <c r="W44" s="652"/>
      <c r="X44" s="185"/>
      <c r="Y44" s="51"/>
      <c r="Z44" s="51"/>
      <c r="AA44" s="606"/>
      <c r="AB44" s="566"/>
      <c r="AC44" s="566"/>
      <c r="AD44" s="567"/>
      <c r="AE44" s="560"/>
    </row>
    <row r="45" spans="1:31" ht="16.2" customHeight="1">
      <c r="A45" s="51">
        <v>9</v>
      </c>
      <c r="B45" s="51"/>
      <c r="C45" s="13" t="s">
        <v>1090</v>
      </c>
      <c r="D45" s="489"/>
      <c r="E45" s="224"/>
      <c r="F45" s="489"/>
      <c r="G45" s="51">
        <v>9</v>
      </c>
      <c r="H45" s="51"/>
      <c r="I45" s="489"/>
      <c r="J45" s="489"/>
      <c r="K45" s="489"/>
      <c r="L45" s="489"/>
      <c r="M45" s="51"/>
      <c r="N45" s="51"/>
      <c r="S45" s="51"/>
      <c r="T45" s="51"/>
      <c r="U45" s="224"/>
      <c r="V45" s="609"/>
      <c r="W45" s="489"/>
      <c r="X45" s="489"/>
      <c r="Y45" s="489"/>
      <c r="Z45" s="489"/>
      <c r="AA45" s="234"/>
      <c r="AB45" s="609"/>
      <c r="AC45" s="489"/>
      <c r="AD45" s="610" t="s">
        <v>1131</v>
      </c>
      <c r="AE45" s="630">
        <f>D24+D31+D39+J20+J35+J44+P22+P35+V43+AB20+AB25+AB39</f>
        <v>21850</v>
      </c>
    </row>
    <row r="46" spans="1:31" ht="16.2" customHeight="1"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224"/>
      <c r="V46" s="489"/>
      <c r="W46" s="489"/>
      <c r="X46" s="489"/>
      <c r="Y46" s="489"/>
      <c r="Z46" s="489"/>
      <c r="AA46" s="224"/>
      <c r="AB46" s="489"/>
      <c r="AC46" s="489"/>
      <c r="AD46" s="527" t="s">
        <v>1132</v>
      </c>
      <c r="AE46" s="93">
        <f>F24+F31+F39+L20+L35+L44+R22+R35+X43+AD20+AD25+AD39</f>
        <v>0</v>
      </c>
    </row>
    <row r="47" spans="1:31" ht="16.2" customHeight="1"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571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1:31" ht="16.2" customHeight="1"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571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3:31" ht="16.2" customHeight="1"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571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3:31" ht="16.2" customHeight="1"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571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3:31" ht="16.2" customHeight="1"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571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3:31" ht="16.2" customHeight="1"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571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3:31" ht="16.2" customHeight="1"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571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3:31" ht="16.2" customHeight="1"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571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</row>
    <row r="55" spans="3:31" ht="16.2" customHeight="1"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571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3:31" ht="16.2" customHeight="1"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571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</row>
    <row r="57" spans="3:31" ht="16.2" customHeight="1"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571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</row>
    <row r="58" spans="3:31" ht="16.2" customHeight="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571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</row>
    <row r="59" spans="3:31" ht="16.2" customHeight="1"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571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</row>
    <row r="60" spans="3:31" ht="16.2" customHeight="1"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571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</row>
    <row r="61" spans="3:31" ht="16.2" customHeight="1"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571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</row>
    <row r="62" spans="3:31" ht="16.2" customHeight="1"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571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</row>
    <row r="63" spans="3:31" ht="16.2" customHeight="1"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571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</row>
    <row r="64" spans="3:31" ht="16.2" customHeight="1"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571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</row>
    <row r="65" spans="3:31" ht="16.2" customHeight="1"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571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</row>
    <row r="66" spans="3:31" ht="16.2" customHeight="1"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571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</row>
    <row r="67" spans="3:31" ht="16.2" customHeight="1"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571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</row>
    <row r="68" spans="3:31" ht="16.2" customHeight="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571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</row>
    <row r="69" spans="3:31" ht="16.2" customHeight="1"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571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</row>
    <row r="70" spans="3:31" ht="16.2" customHeight="1"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571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</row>
    <row r="71" spans="3:31" ht="16.2" customHeight="1"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571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</row>
    <row r="72" spans="3:31" ht="16.2" customHeight="1"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571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3:31" ht="16.2" customHeight="1"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571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</row>
    <row r="74" spans="3:31" ht="16.2" customHeight="1"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571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</row>
    <row r="75" spans="3:31" ht="16.2" customHeight="1"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571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</row>
    <row r="76" spans="3:31" ht="16.2" customHeight="1"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571"/>
      <c r="P76" s="489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</row>
    <row r="77" spans="3:31" ht="16.2" customHeight="1"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571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</row>
    <row r="78" spans="3:31" ht="16.2" customHeight="1"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571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</row>
    <row r="79" spans="3:31" ht="16.2" customHeight="1"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</row>
    <row r="80" spans="3:31" ht="16.2" customHeight="1"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</row>
    <row r="81" spans="3:31" ht="16.2" customHeight="1"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</row>
    <row r="82" spans="3:31" ht="16.2" customHeight="1"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</row>
    <row r="83" spans="3:31" ht="16.2" customHeight="1"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</row>
    <row r="84" spans="3:31" ht="16.2" customHeight="1"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89"/>
    </row>
    <row r="85" spans="3:31" ht="16.2" customHeight="1"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</row>
    <row r="86" spans="3:31" ht="16.2" customHeight="1"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  <c r="V86" s="489"/>
      <c r="W86" s="489"/>
      <c r="X86" s="489"/>
      <c r="Y86" s="489"/>
      <c r="Z86" s="489"/>
      <c r="AA86" s="489"/>
      <c r="AB86" s="489"/>
      <c r="AC86" s="489"/>
      <c r="AD86" s="489"/>
      <c r="AE86" s="489"/>
    </row>
    <row r="87" spans="3:31" ht="16.2" customHeight="1">
      <c r="C87" s="489"/>
      <c r="D87" s="489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</row>
    <row r="88" spans="3:31" ht="16.2" customHeight="1"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</row>
    <row r="89" spans="3:31" ht="16.2" customHeight="1"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</row>
    <row r="90" spans="3:31" ht="16.2" customHeight="1"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89"/>
    </row>
    <row r="91" spans="3:31" ht="16.2" customHeight="1"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</row>
    <row r="92" spans="3:31" ht="16.2" customHeight="1"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489"/>
      <c r="AD92" s="489"/>
      <c r="AE92" s="489"/>
    </row>
    <row r="93" spans="3:31" ht="16.2" customHeight="1"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89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89"/>
      <c r="AC93" s="489"/>
      <c r="AD93" s="489"/>
      <c r="AE93" s="489"/>
    </row>
    <row r="94" spans="3:31" ht="16.2" customHeight="1"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89"/>
      <c r="O94" s="489"/>
      <c r="P94" s="489"/>
      <c r="Q94" s="489"/>
      <c r="R94" s="489"/>
      <c r="S94" s="489"/>
      <c r="T94" s="489"/>
      <c r="U94" s="489"/>
      <c r="V94" s="489"/>
      <c r="W94" s="489"/>
      <c r="X94" s="489"/>
      <c r="Y94" s="489"/>
      <c r="Z94" s="489"/>
      <c r="AA94" s="489"/>
      <c r="AB94" s="489"/>
      <c r="AC94" s="489"/>
      <c r="AD94" s="489"/>
      <c r="AE94" s="489"/>
    </row>
    <row r="95" spans="3:31" ht="16.2" customHeight="1"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</row>
    <row r="96" spans="3:31" ht="16.2" customHeight="1">
      <c r="C96" s="489"/>
      <c r="D96" s="489"/>
      <c r="E96" s="489"/>
      <c r="F96" s="489"/>
      <c r="G96" s="489"/>
      <c r="H96" s="489"/>
      <c r="I96" s="489"/>
      <c r="J96" s="489"/>
      <c r="K96" s="489"/>
      <c r="L96" s="489"/>
      <c r="M96" s="489"/>
      <c r="N96" s="489"/>
      <c r="O96" s="489"/>
      <c r="P96" s="489"/>
      <c r="Q96" s="489"/>
      <c r="R96" s="489"/>
      <c r="S96" s="489"/>
      <c r="T96" s="489"/>
      <c r="U96" s="489"/>
      <c r="V96" s="489"/>
      <c r="W96" s="489"/>
      <c r="X96" s="489"/>
      <c r="Y96" s="489"/>
      <c r="Z96" s="489"/>
      <c r="AA96" s="489"/>
      <c r="AB96" s="489"/>
      <c r="AC96" s="489"/>
      <c r="AD96" s="489"/>
      <c r="AE96" s="489"/>
    </row>
    <row r="97" spans="3:31" ht="16.2" customHeight="1"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V97" s="489"/>
      <c r="W97" s="489"/>
      <c r="X97" s="489"/>
      <c r="Y97" s="489"/>
      <c r="Z97" s="489"/>
      <c r="AA97" s="489"/>
      <c r="AB97" s="489"/>
      <c r="AC97" s="489"/>
      <c r="AD97" s="489"/>
      <c r="AE97" s="489"/>
    </row>
    <row r="98" spans="3:31" ht="16.2" customHeight="1">
      <c r="C98" s="489"/>
      <c r="D98" s="489"/>
      <c r="E98" s="489"/>
      <c r="F98" s="489"/>
      <c r="G98" s="489"/>
      <c r="H98" s="489"/>
      <c r="I98" s="489"/>
      <c r="J98" s="489"/>
      <c r="K98" s="489"/>
      <c r="L98" s="489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</row>
    <row r="99" spans="3:31" ht="16.2" customHeight="1"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</row>
    <row r="100" spans="3:31" ht="16.2" customHeight="1"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89"/>
      <c r="AC100" s="489"/>
      <c r="AD100" s="489"/>
      <c r="AE100" s="489"/>
    </row>
    <row r="101" spans="3:31" ht="16.2" customHeight="1"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89"/>
      <c r="AE101" s="489"/>
    </row>
    <row r="102" spans="3:31" ht="16.2" customHeight="1"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</row>
    <row r="103" spans="3:31" ht="16.2" customHeight="1">
      <c r="C103" s="489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</row>
    <row r="104" spans="3:31" ht="16.2" customHeight="1"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</row>
    <row r="105" spans="3:31" ht="16.2" customHeight="1"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</row>
    <row r="106" spans="3:31" ht="16.2" customHeight="1"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89"/>
      <c r="V106" s="489"/>
      <c r="W106" s="489"/>
      <c r="X106" s="489"/>
      <c r="Y106" s="489"/>
      <c r="Z106" s="489"/>
      <c r="AA106" s="489"/>
      <c r="AB106" s="489"/>
      <c r="AC106" s="489"/>
      <c r="AD106" s="489"/>
      <c r="AE106" s="489"/>
    </row>
    <row r="107" spans="3:31" ht="16.2" customHeight="1"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</row>
    <row r="108" spans="3:31" ht="16.2" customHeight="1"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  <c r="AE108" s="489"/>
    </row>
    <row r="109" spans="3:31" ht="16.2" customHeight="1">
      <c r="C109" s="489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89"/>
      <c r="V109" s="489"/>
      <c r="W109" s="489"/>
      <c r="X109" s="489"/>
      <c r="Y109" s="489"/>
      <c r="Z109" s="489"/>
      <c r="AA109" s="489"/>
      <c r="AB109" s="489"/>
      <c r="AC109" s="489"/>
      <c r="AD109" s="489"/>
      <c r="AE109" s="489"/>
    </row>
    <row r="110" spans="3:31" ht="16.2" customHeight="1"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89"/>
      <c r="V110" s="489"/>
      <c r="W110" s="489"/>
      <c r="X110" s="489"/>
      <c r="Y110" s="489"/>
      <c r="Z110" s="489"/>
      <c r="AA110" s="489"/>
      <c r="AB110" s="489"/>
      <c r="AC110" s="489"/>
      <c r="AD110" s="489"/>
      <c r="AE110" s="489"/>
    </row>
    <row r="111" spans="3:31" ht="16.2" customHeight="1"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</row>
    <row r="112" spans="3:31" ht="16.2" customHeight="1"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89"/>
      <c r="V112" s="489"/>
      <c r="W112" s="489"/>
      <c r="X112" s="489"/>
      <c r="Y112" s="489"/>
      <c r="Z112" s="489"/>
      <c r="AA112" s="489"/>
      <c r="AB112" s="489"/>
      <c r="AC112" s="489"/>
      <c r="AD112" s="489"/>
      <c r="AE112" s="489"/>
    </row>
    <row r="113" spans="3:31" ht="16.2" customHeight="1"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</row>
    <row r="114" spans="3:31" ht="16.2" customHeight="1">
      <c r="C114" s="489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</row>
    <row r="115" spans="3:31" ht="16.2" customHeight="1"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</row>
    <row r="116" spans="3:31" ht="16.2" customHeight="1"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89"/>
      <c r="V116" s="489"/>
      <c r="W116" s="489"/>
      <c r="X116" s="489"/>
      <c r="Y116" s="489"/>
      <c r="Z116" s="489"/>
      <c r="AA116" s="489"/>
      <c r="AB116" s="489"/>
      <c r="AC116" s="489"/>
      <c r="AD116" s="489"/>
      <c r="AE116" s="489"/>
    </row>
    <row r="117" spans="3:31" ht="16.2" customHeight="1"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89"/>
      <c r="V117" s="489"/>
      <c r="W117" s="489"/>
      <c r="X117" s="489"/>
      <c r="Y117" s="489"/>
      <c r="Z117" s="489"/>
      <c r="AA117" s="489"/>
      <c r="AB117" s="489"/>
      <c r="AC117" s="489"/>
      <c r="AD117" s="489"/>
      <c r="AE117" s="489"/>
    </row>
    <row r="118" spans="3:31" ht="16.2" customHeight="1"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89"/>
      <c r="V118" s="489"/>
      <c r="W118" s="489"/>
      <c r="X118" s="489"/>
      <c r="Y118" s="489"/>
      <c r="Z118" s="489"/>
      <c r="AA118" s="489"/>
      <c r="AB118" s="489"/>
      <c r="AC118" s="489"/>
      <c r="AD118" s="489"/>
      <c r="AE118" s="489"/>
    </row>
    <row r="119" spans="3:31" ht="16.2" customHeight="1">
      <c r="C119" s="489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89"/>
      <c r="V119" s="489"/>
      <c r="W119" s="489"/>
      <c r="X119" s="489"/>
      <c r="Y119" s="489"/>
      <c r="Z119" s="489"/>
      <c r="AA119" s="489"/>
      <c r="AB119" s="489"/>
      <c r="AC119" s="489"/>
      <c r="AD119" s="489"/>
      <c r="AE119" s="489"/>
    </row>
    <row r="120" spans="3:31" ht="16.2" customHeight="1"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89"/>
      <c r="Q120" s="489"/>
      <c r="R120" s="489"/>
      <c r="S120" s="489"/>
      <c r="T120" s="489"/>
      <c r="U120" s="489"/>
      <c r="V120" s="489"/>
      <c r="W120" s="489"/>
      <c r="X120" s="489"/>
      <c r="Y120" s="489"/>
      <c r="Z120" s="489"/>
      <c r="AA120" s="489"/>
      <c r="AB120" s="489"/>
      <c r="AC120" s="489"/>
      <c r="AD120" s="489"/>
      <c r="AE120" s="489"/>
    </row>
    <row r="121" spans="3:31" ht="16.2" customHeight="1">
      <c r="C121" s="489"/>
      <c r="D121" s="489"/>
      <c r="E121" s="489"/>
      <c r="F121" s="489"/>
      <c r="G121" s="489"/>
      <c r="H121" s="489"/>
      <c r="I121" s="489"/>
      <c r="J121" s="489"/>
      <c r="K121" s="489"/>
      <c r="L121" s="489"/>
      <c r="M121" s="489"/>
      <c r="N121" s="489"/>
      <c r="O121" s="489"/>
      <c r="P121" s="489"/>
      <c r="Q121" s="489"/>
      <c r="R121" s="489"/>
      <c r="S121" s="489"/>
      <c r="T121" s="489"/>
      <c r="U121" s="489"/>
      <c r="V121" s="489"/>
      <c r="W121" s="489"/>
      <c r="X121" s="489"/>
      <c r="Y121" s="489"/>
      <c r="Z121" s="489"/>
      <c r="AA121" s="489"/>
      <c r="AB121" s="489"/>
      <c r="AC121" s="489"/>
      <c r="AD121" s="489"/>
      <c r="AE121" s="489"/>
    </row>
    <row r="122" spans="3:31" ht="16.2" customHeight="1">
      <c r="C122" s="489"/>
      <c r="D122" s="489"/>
      <c r="E122" s="489"/>
      <c r="F122" s="489"/>
      <c r="G122" s="489"/>
      <c r="H122" s="489"/>
      <c r="I122" s="489"/>
      <c r="J122" s="489"/>
      <c r="K122" s="489"/>
      <c r="L122" s="489"/>
      <c r="M122" s="489"/>
      <c r="N122" s="489"/>
      <c r="O122" s="489"/>
      <c r="P122" s="489"/>
      <c r="Q122" s="489"/>
      <c r="R122" s="489"/>
      <c r="S122" s="489"/>
      <c r="T122" s="489"/>
      <c r="U122" s="489"/>
      <c r="V122" s="489"/>
      <c r="W122" s="489"/>
      <c r="X122" s="489"/>
      <c r="Y122" s="489"/>
      <c r="Z122" s="489"/>
      <c r="AA122" s="489"/>
      <c r="AB122" s="489"/>
      <c r="AC122" s="489"/>
      <c r="AD122" s="489"/>
      <c r="AE122" s="489"/>
    </row>
    <row r="123" spans="3:31" ht="16.2" customHeight="1">
      <c r="C123" s="489"/>
      <c r="D123" s="489"/>
      <c r="E123" s="489"/>
      <c r="F123" s="489"/>
      <c r="G123" s="489"/>
      <c r="H123" s="489"/>
      <c r="I123" s="489"/>
      <c r="J123" s="489"/>
      <c r="K123" s="489"/>
      <c r="L123" s="489"/>
      <c r="M123" s="489"/>
      <c r="N123" s="489"/>
      <c r="O123" s="489"/>
      <c r="P123" s="489"/>
      <c r="Q123" s="489"/>
      <c r="R123" s="489"/>
      <c r="S123" s="489"/>
      <c r="T123" s="489"/>
      <c r="U123" s="489"/>
      <c r="V123" s="489"/>
      <c r="W123" s="489"/>
      <c r="X123" s="489"/>
      <c r="Y123" s="489"/>
      <c r="Z123" s="489"/>
      <c r="AA123" s="489"/>
      <c r="AB123" s="489"/>
      <c r="AC123" s="489"/>
      <c r="AD123" s="489"/>
      <c r="AE123" s="489"/>
    </row>
    <row r="124" spans="3:31" ht="16.2" customHeight="1">
      <c r="C124" s="489"/>
      <c r="D124" s="489"/>
      <c r="E124" s="489"/>
      <c r="F124" s="489"/>
      <c r="G124" s="489"/>
      <c r="H124" s="489"/>
      <c r="I124" s="489"/>
      <c r="J124" s="489"/>
      <c r="K124" s="489"/>
      <c r="L124" s="489"/>
      <c r="M124" s="489"/>
      <c r="N124" s="489"/>
      <c r="O124" s="489"/>
      <c r="P124" s="489"/>
      <c r="Q124" s="489"/>
      <c r="R124" s="489"/>
      <c r="S124" s="489"/>
      <c r="T124" s="489"/>
      <c r="U124" s="489"/>
      <c r="V124" s="489"/>
      <c r="W124" s="489"/>
      <c r="X124" s="489"/>
      <c r="Y124" s="489"/>
      <c r="Z124" s="489"/>
      <c r="AA124" s="489"/>
      <c r="AB124" s="489"/>
      <c r="AC124" s="489"/>
      <c r="AD124" s="489"/>
      <c r="AE124" s="489"/>
    </row>
  </sheetData>
  <sheetProtection formatCells="0"/>
  <mergeCells count="26">
    <mergeCell ref="U13:X13"/>
    <mergeCell ref="AA13:AD13"/>
    <mergeCell ref="AA21:AD21"/>
    <mergeCell ref="AA26:AD26"/>
    <mergeCell ref="O13:R13"/>
    <mergeCell ref="O23:R23"/>
    <mergeCell ref="C25:F25"/>
    <mergeCell ref="C32:F32"/>
    <mergeCell ref="I21:L21"/>
    <mergeCell ref="I13:L13"/>
    <mergeCell ref="I36:L36"/>
    <mergeCell ref="C13:F13"/>
    <mergeCell ref="C2:F3"/>
    <mergeCell ref="AA10:AD10"/>
    <mergeCell ref="W5:X5"/>
    <mergeCell ref="D5:L6"/>
    <mergeCell ref="U10:X10"/>
    <mergeCell ref="D7:L8"/>
    <mergeCell ref="C10:F10"/>
    <mergeCell ref="I10:L10"/>
    <mergeCell ref="O10:R10"/>
    <mergeCell ref="W7:X7"/>
    <mergeCell ref="P5:V6"/>
    <mergeCell ref="P7:Q8"/>
    <mergeCell ref="AA5:AC6"/>
    <mergeCell ref="AA7:AE8"/>
  </mergeCells>
  <phoneticPr fontId="2"/>
  <conditionalFormatting sqref="F26:F28 F33:F36 F41:F43 L22:L31 AD14:AD19 AD22:AD23 AD27:AD36 R24:R33 F14:F21 R14:R16 R19 L37:L42 X14:X25 X27:X34 L14:L17">
    <cfRule type="cellIs" dxfId="10" priority="3" operator="greaterThan">
      <formula>D14</formula>
    </cfRule>
  </conditionalFormatting>
  <hyperlinks>
    <hyperlink ref="C2:F3" location="提案表紙!A1" display="大阪府折込資料表" xr:uid="{00000000-0004-0000-21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3" orientation="landscape" horizontalDpi="300" verticalDpi="300" r:id="rId1"/>
  <headerFooter alignWithMargins="0">
    <oddFooter xml:space="preserve">&amp;RP-30/34
</oddFooter>
  </headerFooter>
  <rowBreaks count="1" manualBreakCount="1">
    <brk id="47" min="2" max="2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2">
    <tabColor rgb="FFB6D2F5"/>
    <pageSetUpPr fitToPage="1"/>
  </sheetPr>
  <dimension ref="A1:AE120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11.109375" hidden="1" customWidth="1"/>
    <col min="2" max="2" width="10.109375" hidden="1" customWidth="1"/>
    <col min="3" max="3" width="13.6640625" customWidth="1"/>
    <col min="4" max="4" width="7.4414062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4" width="8.6640625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6" width="8.6640625" hidden="1" customWidth="1"/>
    <col min="27" max="27" width="13.33203125" customWidth="1"/>
    <col min="28" max="28" width="6.77734375" customWidth="1"/>
    <col min="29" max="29" width="3.33203125" customWidth="1"/>
    <col min="30" max="30" width="8.77734375" customWidth="1"/>
  </cols>
  <sheetData>
    <row r="1" spans="1:31" ht="13.2" hidden="1">
      <c r="A1" s="338" t="s">
        <v>1369</v>
      </c>
      <c r="B1" s="51" t="s">
        <v>1370</v>
      </c>
      <c r="C1" s="22"/>
      <c r="F1" s="51" t="s">
        <v>301</v>
      </c>
      <c r="G1" s="338" t="s">
        <v>1369</v>
      </c>
      <c r="H1" s="51" t="s">
        <v>1370</v>
      </c>
      <c r="L1" s="51" t="s">
        <v>301</v>
      </c>
      <c r="M1" s="338" t="s">
        <v>1369</v>
      </c>
      <c r="N1" s="51" t="s">
        <v>1370</v>
      </c>
      <c r="O1" s="18"/>
      <c r="R1" s="51" t="s">
        <v>301</v>
      </c>
      <c r="S1" s="338" t="s">
        <v>1369</v>
      </c>
      <c r="T1" s="51" t="s">
        <v>1370</v>
      </c>
      <c r="U1" s="18"/>
      <c r="X1" s="51" t="s">
        <v>301</v>
      </c>
      <c r="Y1" s="338" t="s">
        <v>1369</v>
      </c>
      <c r="Z1" s="51" t="s">
        <v>1370</v>
      </c>
      <c r="AA1" s="18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S2" s="51"/>
      <c r="W2" s="500"/>
      <c r="X2" s="500" t="s">
        <v>1313</v>
      </c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S3" s="51"/>
      <c r="W3" s="500"/>
      <c r="X3" s="500" t="s">
        <v>1501</v>
      </c>
    </row>
    <row r="4" spans="1:31" ht="13.5" customHeight="1">
      <c r="C4" t="s">
        <v>256</v>
      </c>
      <c r="I4" s="187">
        <v>45717</v>
      </c>
      <c r="J4" s="186" t="s">
        <v>0</v>
      </c>
      <c r="K4" t="s">
        <v>257</v>
      </c>
      <c r="S4" s="51"/>
      <c r="W4" s="500"/>
      <c r="X4" s="500" t="s">
        <v>1500</v>
      </c>
    </row>
    <row r="5" spans="1:31" ht="13.2" customHeight="1">
      <c r="C5" s="7" t="s">
        <v>258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3"/>
      <c r="M5" s="462"/>
      <c r="N5" s="463"/>
      <c r="O5" s="7" t="s">
        <v>233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259</v>
      </c>
      <c r="X5" s="822"/>
      <c r="Y5" s="459"/>
      <c r="Z5" s="459"/>
      <c r="AA5" s="840"/>
      <c r="AB5" s="840"/>
      <c r="AC5" s="841"/>
      <c r="AD5" s="6" t="s">
        <v>260</v>
      </c>
      <c r="AE5" s="6" t="s">
        <v>260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5"/>
      <c r="M6" s="462"/>
      <c r="N6" s="463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261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3"/>
      <c r="M7" s="462"/>
      <c r="N7" s="463"/>
      <c r="O7" s="7" t="s">
        <v>785</v>
      </c>
      <c r="P7" s="827">
        <f>提案表紙!G9</f>
        <v>0</v>
      </c>
      <c r="Q7" s="828"/>
      <c r="R7" s="7" t="s">
        <v>262</v>
      </c>
      <c r="U7" s="410">
        <f>AE43</f>
        <v>0</v>
      </c>
      <c r="V7" s="8"/>
      <c r="W7" s="821" t="s">
        <v>263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5"/>
      <c r="M8" s="462"/>
      <c r="N8" s="463"/>
      <c r="O8" s="207"/>
      <c r="P8" s="829"/>
      <c r="Q8" s="830"/>
      <c r="R8" s="9" t="s">
        <v>264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>
      <c r="L9" s="66"/>
      <c r="O9" s="66"/>
    </row>
    <row r="10" spans="1:31" ht="16.2" customHeight="1">
      <c r="A10" s="51">
        <v>1</v>
      </c>
      <c r="B10" s="51">
        <v>6</v>
      </c>
      <c r="C10" s="818" t="s">
        <v>997</v>
      </c>
      <c r="D10" s="819"/>
      <c r="E10" s="819"/>
      <c r="F10" s="820"/>
      <c r="G10" s="51">
        <v>1</v>
      </c>
      <c r="H10" s="51">
        <v>6</v>
      </c>
      <c r="I10" s="818" t="s">
        <v>997</v>
      </c>
      <c r="J10" s="819"/>
      <c r="K10" s="819"/>
      <c r="L10" s="820"/>
      <c r="M10" s="51">
        <v>1</v>
      </c>
      <c r="N10" s="51">
        <v>6</v>
      </c>
      <c r="O10" s="818" t="s">
        <v>997</v>
      </c>
      <c r="P10" s="819"/>
      <c r="Q10" s="819"/>
      <c r="R10" s="820"/>
      <c r="S10" s="51">
        <v>1</v>
      </c>
      <c r="T10" s="51">
        <v>6</v>
      </c>
      <c r="U10" s="818" t="s">
        <v>997</v>
      </c>
      <c r="V10" s="819"/>
      <c r="W10" s="819"/>
      <c r="X10" s="820"/>
      <c r="Y10" s="51">
        <v>1</v>
      </c>
      <c r="Z10" s="51">
        <v>6</v>
      </c>
      <c r="AA10" s="818" t="s">
        <v>997</v>
      </c>
      <c r="AB10" s="819"/>
      <c r="AC10" s="819"/>
      <c r="AD10" s="820"/>
      <c r="AE10" s="502" t="s">
        <v>265</v>
      </c>
    </row>
    <row r="11" spans="1:31" ht="16.2" customHeight="1">
      <c r="A11" s="51"/>
      <c r="B11" s="51"/>
      <c r="C11" s="503" t="s">
        <v>266</v>
      </c>
      <c r="D11" s="504" t="s">
        <v>267</v>
      </c>
      <c r="E11" s="319" t="s">
        <v>268</v>
      </c>
      <c r="F11" s="505" t="s">
        <v>236</v>
      </c>
      <c r="G11" s="51"/>
      <c r="H11" s="51"/>
      <c r="I11" s="503" t="s">
        <v>266</v>
      </c>
      <c r="J11" s="504" t="s">
        <v>267</v>
      </c>
      <c r="K11" s="319" t="s">
        <v>268</v>
      </c>
      <c r="L11" s="505" t="s">
        <v>236</v>
      </c>
      <c r="M11" s="51"/>
      <c r="N11" s="51"/>
      <c r="O11" s="503" t="s">
        <v>266</v>
      </c>
      <c r="P11" s="504" t="s">
        <v>267</v>
      </c>
      <c r="Q11" s="319" t="s">
        <v>268</v>
      </c>
      <c r="R11" s="505" t="s">
        <v>236</v>
      </c>
      <c r="S11" s="51"/>
      <c r="T11" s="51"/>
      <c r="U11" s="503" t="s">
        <v>266</v>
      </c>
      <c r="V11" s="504" t="s">
        <v>267</v>
      </c>
      <c r="W11" s="319" t="s">
        <v>268</v>
      </c>
      <c r="X11" s="505" t="s">
        <v>236</v>
      </c>
      <c r="Y11" s="51"/>
      <c r="Z11" s="51"/>
      <c r="AA11" s="503" t="s">
        <v>266</v>
      </c>
      <c r="AB11" s="504" t="s">
        <v>267</v>
      </c>
      <c r="AC11" s="319" t="s">
        <v>268</v>
      </c>
      <c r="AD11" s="505" t="s">
        <v>236</v>
      </c>
      <c r="AE11" s="507" t="s">
        <v>269</v>
      </c>
    </row>
    <row r="12" spans="1:31" ht="16.2" customHeight="1">
      <c r="A12" s="51"/>
      <c r="B12" s="51"/>
      <c r="C12" s="45"/>
      <c r="D12" s="33" ph="1"/>
      <c r="E12" s="24"/>
      <c r="F12" s="631"/>
      <c r="G12" s="51"/>
      <c r="H12" s="51"/>
      <c r="I12" s="508"/>
      <c r="J12" s="509"/>
      <c r="K12" s="23"/>
      <c r="L12" s="509"/>
      <c r="M12" s="51"/>
      <c r="N12" s="51"/>
      <c r="O12" s="18"/>
      <c r="P12" s="506"/>
      <c r="Q12" s="24"/>
      <c r="R12" s="506"/>
      <c r="S12" s="51"/>
      <c r="T12" s="51"/>
      <c r="U12" s="508"/>
      <c r="V12" s="509"/>
      <c r="W12" s="23"/>
      <c r="X12" s="509"/>
      <c r="Y12" s="51"/>
      <c r="Z12" s="51"/>
      <c r="AA12" s="18"/>
      <c r="AB12" s="506"/>
      <c r="AC12" s="24"/>
      <c r="AD12" s="506"/>
      <c r="AE12" s="509"/>
    </row>
    <row r="13" spans="1:31" ht="16.2" customHeight="1">
      <c r="A13" s="51">
        <v>2</v>
      </c>
      <c r="B13" s="488" t="s">
        <v>1413</v>
      </c>
      <c r="C13" s="852" t="s">
        <v>359</v>
      </c>
      <c r="D13" s="853"/>
      <c r="E13" s="853"/>
      <c r="F13" s="854"/>
      <c r="G13" s="51">
        <v>2</v>
      </c>
      <c r="H13" s="488" t="s">
        <v>1414</v>
      </c>
      <c r="I13" s="852" t="s">
        <v>360</v>
      </c>
      <c r="J13" s="853"/>
      <c r="K13" s="853"/>
      <c r="L13" s="854"/>
      <c r="M13" s="51">
        <v>2</v>
      </c>
      <c r="N13" s="488" t="s">
        <v>1416</v>
      </c>
      <c r="O13" s="852" t="s">
        <v>362</v>
      </c>
      <c r="P13" s="853"/>
      <c r="Q13" s="853"/>
      <c r="R13" s="854"/>
      <c r="S13" s="51">
        <v>2</v>
      </c>
      <c r="T13" s="488" t="s">
        <v>1418</v>
      </c>
      <c r="U13" s="852" t="s">
        <v>853</v>
      </c>
      <c r="V13" s="853"/>
      <c r="W13" s="853"/>
      <c r="X13" s="854"/>
      <c r="Y13" s="51">
        <v>2</v>
      </c>
      <c r="Z13" s="488" t="s">
        <v>1420</v>
      </c>
      <c r="AA13" s="852" t="s">
        <v>367</v>
      </c>
      <c r="AB13" s="853"/>
      <c r="AC13" s="853"/>
      <c r="AD13" s="854"/>
      <c r="AE13" s="513"/>
    </row>
    <row r="14" spans="1:31" ht="16.2" customHeight="1">
      <c r="A14" s="51">
        <v>3</v>
      </c>
      <c r="B14" s="51">
        <v>76355</v>
      </c>
      <c r="C14" s="450" t="s">
        <v>1497</v>
      </c>
      <c r="D14" s="267">
        <v>650</v>
      </c>
      <c r="E14" s="135"/>
      <c r="F14" s="132"/>
      <c r="G14" s="51">
        <v>3</v>
      </c>
      <c r="H14" s="51">
        <v>76393</v>
      </c>
      <c r="I14" s="491" t="s">
        <v>1136</v>
      </c>
      <c r="J14" s="143">
        <v>200</v>
      </c>
      <c r="K14" s="573"/>
      <c r="L14" s="132"/>
      <c r="M14" s="51">
        <v>3</v>
      </c>
      <c r="N14" s="51">
        <v>76451</v>
      </c>
      <c r="O14" s="491" t="s">
        <v>1098</v>
      </c>
      <c r="P14" s="544">
        <v>650</v>
      </c>
      <c r="Q14" s="515"/>
      <c r="R14" s="132"/>
      <c r="S14" s="51">
        <v>3</v>
      </c>
      <c r="T14" s="51">
        <v>76503</v>
      </c>
      <c r="U14" s="491" t="s">
        <v>1289</v>
      </c>
      <c r="V14" s="597">
        <v>200</v>
      </c>
      <c r="W14" s="135"/>
      <c r="X14" s="132"/>
      <c r="Y14" s="51">
        <v>3</v>
      </c>
      <c r="Z14" s="51">
        <v>76549</v>
      </c>
      <c r="AA14" s="572" t="s">
        <v>1380</v>
      </c>
      <c r="AB14" s="149">
        <v>200</v>
      </c>
      <c r="AC14" s="184"/>
      <c r="AD14" s="132"/>
      <c r="AE14" s="516"/>
    </row>
    <row r="15" spans="1:31" ht="16.2" customHeight="1" thickBot="1">
      <c r="A15" s="51">
        <v>3</v>
      </c>
      <c r="B15" s="51">
        <v>76357</v>
      </c>
      <c r="C15" s="491" t="s">
        <v>1374</v>
      </c>
      <c r="D15" s="149">
        <v>450</v>
      </c>
      <c r="E15" s="135"/>
      <c r="F15" s="132"/>
      <c r="G15" s="51">
        <v>3</v>
      </c>
      <c r="H15" s="51">
        <v>76395</v>
      </c>
      <c r="I15" s="491" t="s">
        <v>1160</v>
      </c>
      <c r="J15" s="585">
        <v>150</v>
      </c>
      <c r="K15" s="576"/>
      <c r="L15" s="132"/>
      <c r="M15" s="51">
        <v>3</v>
      </c>
      <c r="N15" s="51"/>
      <c r="O15" s="581"/>
      <c r="P15" s="585"/>
      <c r="Q15" s="549"/>
      <c r="R15" s="642"/>
      <c r="S15" s="51">
        <v>3</v>
      </c>
      <c r="T15" s="51">
        <v>76505</v>
      </c>
      <c r="U15" s="491" t="s">
        <v>859</v>
      </c>
      <c r="V15" s="143">
        <v>150</v>
      </c>
      <c r="W15" s="519"/>
      <c r="X15" s="133"/>
      <c r="Y15" s="51">
        <v>3</v>
      </c>
      <c r="Z15" s="51">
        <v>76555</v>
      </c>
      <c r="AA15" s="491" t="s">
        <v>869</v>
      </c>
      <c r="AB15" s="143">
        <v>50</v>
      </c>
      <c r="AC15" s="131"/>
      <c r="AD15" s="132"/>
      <c r="AE15" s="516"/>
    </row>
    <row r="16" spans="1:31" ht="16.2" customHeight="1" thickTop="1" thickBot="1">
      <c r="A16" s="51">
        <v>3</v>
      </c>
      <c r="B16" s="51">
        <v>76358</v>
      </c>
      <c r="C16" s="491" t="s">
        <v>1375</v>
      </c>
      <c r="D16" s="542">
        <v>500</v>
      </c>
      <c r="E16" s="131"/>
      <c r="F16" s="132"/>
      <c r="G16" s="51">
        <v>3</v>
      </c>
      <c r="H16" s="51">
        <v>76397</v>
      </c>
      <c r="I16" s="491" t="s">
        <v>1293</v>
      </c>
      <c r="J16" s="143">
        <v>100</v>
      </c>
      <c r="K16" s="576"/>
      <c r="L16" s="132"/>
      <c r="M16" s="51">
        <v>4</v>
      </c>
      <c r="N16" s="51"/>
      <c r="O16" s="551" t="s">
        <v>362</v>
      </c>
      <c r="P16" s="301">
        <f>SUM(P14:P15)</f>
        <v>650</v>
      </c>
      <c r="Q16" s="579"/>
      <c r="R16" s="447">
        <f>SUM(R14:R15)</f>
        <v>0</v>
      </c>
      <c r="S16" s="51">
        <v>3</v>
      </c>
      <c r="T16" s="51">
        <v>76507</v>
      </c>
      <c r="U16" s="491" t="s">
        <v>860</v>
      </c>
      <c r="V16" s="143">
        <v>100</v>
      </c>
      <c r="W16" s="519"/>
      <c r="X16" s="132"/>
      <c r="Y16" s="51">
        <v>3</v>
      </c>
      <c r="Z16" s="51">
        <v>76557</v>
      </c>
      <c r="AA16" s="491" t="s">
        <v>1169</v>
      </c>
      <c r="AB16" s="351">
        <v>150</v>
      </c>
      <c r="AC16" s="131"/>
      <c r="AD16" s="132"/>
      <c r="AE16" s="516"/>
    </row>
    <row r="17" spans="1:31" ht="16.2" customHeight="1" thickTop="1">
      <c r="A17" s="51">
        <v>3</v>
      </c>
      <c r="B17" s="51">
        <v>76361</v>
      </c>
      <c r="C17" s="491" t="s">
        <v>1338</v>
      </c>
      <c r="D17" s="143">
        <v>550</v>
      </c>
      <c r="E17" s="131"/>
      <c r="F17" s="132"/>
      <c r="G17" s="51">
        <v>3</v>
      </c>
      <c r="H17" s="51">
        <v>76399</v>
      </c>
      <c r="I17" s="457" t="s">
        <v>790</v>
      </c>
      <c r="J17" s="359">
        <v>50</v>
      </c>
      <c r="K17" s="519"/>
      <c r="L17" s="132"/>
      <c r="M17" s="51">
        <v>2</v>
      </c>
      <c r="N17" s="488" t="s">
        <v>1417</v>
      </c>
      <c r="O17" s="761" t="s">
        <v>123</v>
      </c>
      <c r="P17" s="66"/>
      <c r="Q17" s="66"/>
      <c r="R17" s="762"/>
      <c r="S17" s="51">
        <v>3</v>
      </c>
      <c r="T17" s="51">
        <v>76509</v>
      </c>
      <c r="U17" s="491" t="s">
        <v>1530</v>
      </c>
      <c r="V17" s="143">
        <v>50</v>
      </c>
      <c r="W17" s="515"/>
      <c r="X17" s="132"/>
      <c r="Y17" s="51">
        <v>3</v>
      </c>
      <c r="Z17" s="51">
        <v>76559</v>
      </c>
      <c r="AA17" s="442" t="s">
        <v>1167</v>
      </c>
      <c r="AB17" s="544">
        <v>100</v>
      </c>
      <c r="AC17" s="135"/>
      <c r="AD17" s="132"/>
      <c r="AE17" s="516"/>
    </row>
    <row r="18" spans="1:31" ht="16.2" customHeight="1">
      <c r="A18" s="51">
        <v>3</v>
      </c>
      <c r="B18" s="51">
        <v>76363</v>
      </c>
      <c r="C18" s="491" t="s">
        <v>1337</v>
      </c>
      <c r="D18" s="143">
        <v>1450</v>
      </c>
      <c r="E18" s="135"/>
      <c r="F18" s="405"/>
      <c r="G18" s="51">
        <v>3</v>
      </c>
      <c r="H18" s="51">
        <v>76401</v>
      </c>
      <c r="I18" s="457" t="s">
        <v>885</v>
      </c>
      <c r="J18" s="359">
        <v>50</v>
      </c>
      <c r="K18" s="519"/>
      <c r="L18" s="633"/>
      <c r="M18" s="51">
        <v>3</v>
      </c>
      <c r="N18" s="51">
        <v>76452</v>
      </c>
      <c r="O18" s="491" t="s">
        <v>1474</v>
      </c>
      <c r="P18" s="2">
        <v>50</v>
      </c>
      <c r="Q18" s="515"/>
      <c r="R18" s="132"/>
      <c r="S18" s="51">
        <v>3</v>
      </c>
      <c r="T18" s="51">
        <v>76511</v>
      </c>
      <c r="U18" s="491" t="s">
        <v>1614</v>
      </c>
      <c r="V18" s="143">
        <v>150</v>
      </c>
      <c r="W18" s="515"/>
      <c r="X18" s="132"/>
      <c r="Y18" s="51">
        <v>3</v>
      </c>
      <c r="Z18" s="51">
        <v>76561</v>
      </c>
      <c r="AA18" s="442" t="s">
        <v>1168</v>
      </c>
      <c r="AB18" s="493" t="s">
        <v>1566</v>
      </c>
      <c r="AC18" s="131"/>
      <c r="AD18" s="132"/>
      <c r="AE18" s="516"/>
    </row>
    <row r="19" spans="1:31" ht="16.2" customHeight="1" thickBot="1">
      <c r="A19" s="51">
        <v>3</v>
      </c>
      <c r="B19" s="51">
        <v>76364</v>
      </c>
      <c r="C19" s="491" t="s">
        <v>1592</v>
      </c>
      <c r="D19" s="143">
        <v>600</v>
      </c>
      <c r="E19" s="131"/>
      <c r="F19" s="132"/>
      <c r="G19" s="51">
        <v>3</v>
      </c>
      <c r="H19" s="51">
        <v>76405</v>
      </c>
      <c r="I19" s="554" t="s">
        <v>1304</v>
      </c>
      <c r="J19" s="563">
        <v>50</v>
      </c>
      <c r="K19" s="519"/>
      <c r="L19" s="633"/>
      <c r="M19" s="51">
        <v>3</v>
      </c>
      <c r="N19" s="51">
        <v>76453</v>
      </c>
      <c r="O19" s="491" t="s">
        <v>1355</v>
      </c>
      <c r="P19" s="544">
        <v>100</v>
      </c>
      <c r="Q19" s="515"/>
      <c r="R19" s="132"/>
      <c r="S19" s="51">
        <v>3</v>
      </c>
      <c r="T19" s="51">
        <v>76513</v>
      </c>
      <c r="U19" s="491" t="s">
        <v>1351</v>
      </c>
      <c r="V19" s="644">
        <v>200</v>
      </c>
      <c r="W19" s="515"/>
      <c r="X19" s="132"/>
      <c r="Y19" s="51">
        <v>3</v>
      </c>
      <c r="Z19" s="51">
        <v>76563</v>
      </c>
      <c r="AA19" s="442" t="s">
        <v>1169</v>
      </c>
      <c r="AB19" s="493" t="s">
        <v>1566</v>
      </c>
      <c r="AC19" s="515"/>
      <c r="AD19" s="132"/>
      <c r="AE19" s="516"/>
    </row>
    <row r="20" spans="1:31" ht="16.2" customHeight="1" thickTop="1" thickBot="1">
      <c r="A20" s="51">
        <v>3</v>
      </c>
      <c r="B20" s="51">
        <v>76365</v>
      </c>
      <c r="C20" s="491" t="s">
        <v>1336</v>
      </c>
      <c r="D20" s="143">
        <v>800</v>
      </c>
      <c r="E20" s="131"/>
      <c r="F20" s="132"/>
      <c r="G20" s="51">
        <v>4</v>
      </c>
      <c r="H20" s="51"/>
      <c r="I20" s="636" t="s">
        <v>360</v>
      </c>
      <c r="J20" s="637">
        <f>SUM(D35:D41,J14:J19)</f>
        <v>3750</v>
      </c>
      <c r="K20" s="638"/>
      <c r="L20" s="408">
        <f>SUM(F35:F41,L14:L19)</f>
        <v>0</v>
      </c>
      <c r="M20" s="51">
        <v>3</v>
      </c>
      <c r="N20" s="51">
        <v>76455</v>
      </c>
      <c r="O20" s="457" t="s">
        <v>124</v>
      </c>
      <c r="P20" s="586">
        <v>300</v>
      </c>
      <c r="Q20" s="519"/>
      <c r="R20" s="132"/>
      <c r="S20" s="51">
        <v>3</v>
      </c>
      <c r="T20" s="51"/>
      <c r="U20" s="450"/>
      <c r="V20" s="645"/>
      <c r="W20" s="515"/>
      <c r="X20" s="132"/>
      <c r="Y20" s="51">
        <v>3</v>
      </c>
      <c r="Z20" s="51">
        <v>76564</v>
      </c>
      <c r="AA20" s="442" t="s">
        <v>1642</v>
      </c>
      <c r="AB20" s="353">
        <v>100</v>
      </c>
      <c r="AC20" s="184"/>
      <c r="AD20" s="132"/>
      <c r="AE20" s="516"/>
    </row>
    <row r="21" spans="1:31" ht="16.2" customHeight="1" thickTop="1" thickBot="1">
      <c r="A21" s="51">
        <v>3</v>
      </c>
      <c r="B21" s="51">
        <v>76367</v>
      </c>
      <c r="C21" s="491" t="s">
        <v>1354</v>
      </c>
      <c r="D21" s="143">
        <v>250</v>
      </c>
      <c r="E21" s="131"/>
      <c r="F21" s="132"/>
      <c r="G21" s="51">
        <v>2</v>
      </c>
      <c r="H21" s="488" t="s">
        <v>1415</v>
      </c>
      <c r="I21" s="852" t="s">
        <v>1458</v>
      </c>
      <c r="J21" s="853"/>
      <c r="K21" s="853"/>
      <c r="L21" s="854"/>
      <c r="M21" s="51">
        <v>3</v>
      </c>
      <c r="N21" s="51">
        <v>76457</v>
      </c>
      <c r="O21" s="491" t="s">
        <v>125</v>
      </c>
      <c r="P21" s="544">
        <v>350</v>
      </c>
      <c r="Q21" s="515"/>
      <c r="R21" s="132"/>
      <c r="S21" s="51">
        <v>4</v>
      </c>
      <c r="T21" s="51"/>
      <c r="U21" s="551" t="s">
        <v>853</v>
      </c>
      <c r="V21" s="558">
        <f>SUM(V14:V20,P29:P41)</f>
        <v>4800</v>
      </c>
      <c r="W21" s="552"/>
      <c r="X21" s="327">
        <f>SUM(X14:X20,R29:R41)</f>
        <v>0</v>
      </c>
      <c r="Y21" s="51">
        <v>3</v>
      </c>
      <c r="Z21" s="51"/>
      <c r="AA21" s="442"/>
      <c r="AB21" s="143"/>
      <c r="AC21" s="131"/>
      <c r="AD21" s="647"/>
      <c r="AE21" s="516"/>
    </row>
    <row r="22" spans="1:31" ht="16.2" customHeight="1" thickTop="1">
      <c r="A22" s="51">
        <v>3</v>
      </c>
      <c r="B22" s="51">
        <v>76368</v>
      </c>
      <c r="C22" s="491" t="s">
        <v>1593</v>
      </c>
      <c r="D22" s="563">
        <v>700</v>
      </c>
      <c r="E22" s="519"/>
      <c r="F22" s="633"/>
      <c r="G22" s="51">
        <v>3</v>
      </c>
      <c r="H22" s="51">
        <v>76407</v>
      </c>
      <c r="I22" s="640" t="s">
        <v>452</v>
      </c>
      <c r="J22" s="352">
        <v>250</v>
      </c>
      <c r="K22" s="641"/>
      <c r="L22" s="132"/>
      <c r="M22" s="51">
        <v>3</v>
      </c>
      <c r="N22" s="51">
        <v>76459</v>
      </c>
      <c r="O22" s="491" t="s">
        <v>126</v>
      </c>
      <c r="P22" s="549">
        <v>150</v>
      </c>
      <c r="Q22" s="549"/>
      <c r="R22" s="132"/>
      <c r="S22" s="51">
        <v>2</v>
      </c>
      <c r="T22" s="488" t="s">
        <v>1419</v>
      </c>
      <c r="U22" s="855" t="s">
        <v>366</v>
      </c>
      <c r="V22" s="856"/>
      <c r="W22" s="856"/>
      <c r="X22" s="857"/>
      <c r="Y22" s="51">
        <v>3</v>
      </c>
      <c r="Z22" s="51"/>
      <c r="AA22" s="448"/>
      <c r="AB22" s="353"/>
      <c r="AC22" s="131"/>
      <c r="AD22" s="648"/>
      <c r="AE22" s="516"/>
    </row>
    <row r="23" spans="1:31" ht="16.2" customHeight="1">
      <c r="A23" s="51">
        <v>3</v>
      </c>
      <c r="B23" s="51">
        <v>76370</v>
      </c>
      <c r="C23" s="491" t="s">
        <v>1594</v>
      </c>
      <c r="D23" s="143">
        <v>350</v>
      </c>
      <c r="E23" s="131"/>
      <c r="F23" s="405"/>
      <c r="G23" s="51">
        <v>3</v>
      </c>
      <c r="H23" s="51">
        <v>76409</v>
      </c>
      <c r="I23" s="442" t="s">
        <v>453</v>
      </c>
      <c r="J23" s="143">
        <v>400</v>
      </c>
      <c r="K23" s="643"/>
      <c r="L23" s="132"/>
      <c r="M23" s="51">
        <v>3</v>
      </c>
      <c r="N23" s="51">
        <v>76461</v>
      </c>
      <c r="O23" s="491" t="s">
        <v>1479</v>
      </c>
      <c r="P23" s="2">
        <v>200</v>
      </c>
      <c r="Q23" s="515"/>
      <c r="R23" s="132"/>
      <c r="S23" s="51">
        <v>3</v>
      </c>
      <c r="T23" s="51">
        <v>76519</v>
      </c>
      <c r="U23" s="491" t="s">
        <v>1163</v>
      </c>
      <c r="V23" s="620">
        <v>200</v>
      </c>
      <c r="W23" s="515"/>
      <c r="X23" s="132"/>
      <c r="Y23" s="51">
        <v>3</v>
      </c>
      <c r="Z23" s="51"/>
      <c r="AA23" s="649"/>
      <c r="AB23" s="208"/>
      <c r="AC23" s="135"/>
      <c r="AD23" s="241"/>
      <c r="AE23" s="516"/>
    </row>
    <row r="24" spans="1:31" ht="16.2" customHeight="1" thickBot="1">
      <c r="A24" s="51">
        <v>3</v>
      </c>
      <c r="B24" s="51">
        <v>76369</v>
      </c>
      <c r="C24" s="491" t="s">
        <v>665</v>
      </c>
      <c r="D24" s="143">
        <v>400</v>
      </c>
      <c r="E24" s="131"/>
      <c r="F24" s="132"/>
      <c r="G24" s="51">
        <v>3</v>
      </c>
      <c r="H24" s="51">
        <v>76412</v>
      </c>
      <c r="I24" s="442" t="s">
        <v>1457</v>
      </c>
      <c r="J24" s="149">
        <v>750</v>
      </c>
      <c r="K24" s="573"/>
      <c r="L24" s="132"/>
      <c r="M24" s="51">
        <v>3</v>
      </c>
      <c r="N24" s="51">
        <v>76463</v>
      </c>
      <c r="O24" s="448" t="s">
        <v>1138</v>
      </c>
      <c r="P24" s="353">
        <v>50</v>
      </c>
      <c r="Q24" s="543"/>
      <c r="R24" s="132"/>
      <c r="S24" s="51">
        <v>3</v>
      </c>
      <c r="T24" s="51">
        <v>76521</v>
      </c>
      <c r="U24" s="491" t="s">
        <v>1470</v>
      </c>
      <c r="V24" s="351">
        <v>150</v>
      </c>
      <c r="W24" s="131"/>
      <c r="X24" s="132"/>
      <c r="Y24" s="51">
        <v>3</v>
      </c>
      <c r="Z24" s="51"/>
      <c r="AA24" s="555"/>
      <c r="AB24" s="556"/>
      <c r="AC24" s="556"/>
      <c r="AD24" s="182"/>
      <c r="AE24" s="560"/>
    </row>
    <row r="25" spans="1:31" ht="16.2" customHeight="1" thickTop="1" thickBot="1">
      <c r="A25" s="51">
        <v>3</v>
      </c>
      <c r="B25" s="51">
        <v>76371</v>
      </c>
      <c r="C25" s="491" t="s">
        <v>666</v>
      </c>
      <c r="D25" s="143">
        <v>400</v>
      </c>
      <c r="E25" s="131"/>
      <c r="F25" s="132"/>
      <c r="G25" s="51">
        <v>3</v>
      </c>
      <c r="H25" s="51">
        <v>76413</v>
      </c>
      <c r="I25" s="442" t="s">
        <v>1266</v>
      </c>
      <c r="J25" s="143">
        <v>200</v>
      </c>
      <c r="K25" s="643"/>
      <c r="L25" s="132"/>
      <c r="M25" s="51">
        <v>3</v>
      </c>
      <c r="N25" s="51">
        <v>76465</v>
      </c>
      <c r="O25" s="491" t="s">
        <v>127</v>
      </c>
      <c r="P25" s="143">
        <v>50</v>
      </c>
      <c r="Q25" s="515"/>
      <c r="R25" s="132"/>
      <c r="S25" s="51">
        <v>3</v>
      </c>
      <c r="T25" s="51">
        <v>76523</v>
      </c>
      <c r="U25" s="491" t="s">
        <v>1164</v>
      </c>
      <c r="V25" s="351">
        <v>200</v>
      </c>
      <c r="W25" s="131"/>
      <c r="X25" s="132"/>
      <c r="Y25" s="51">
        <v>4</v>
      </c>
      <c r="Z25" s="51"/>
      <c r="AA25" s="595" t="s">
        <v>870</v>
      </c>
      <c r="AB25" s="301">
        <f>SUM(AB14:AB24)</f>
        <v>600</v>
      </c>
      <c r="AC25" s="305"/>
      <c r="AD25" s="308">
        <f>SUM(AD14:AD24)</f>
        <v>0</v>
      </c>
      <c r="AE25" s="560"/>
    </row>
    <row r="26" spans="1:31" ht="16.2" customHeight="1" thickTop="1" thickBot="1">
      <c r="A26" s="51">
        <v>3</v>
      </c>
      <c r="B26" s="51">
        <v>76373</v>
      </c>
      <c r="C26" s="491" t="s">
        <v>128</v>
      </c>
      <c r="D26" s="585">
        <v>300</v>
      </c>
      <c r="E26" s="515"/>
      <c r="F26" s="132"/>
      <c r="G26" s="51">
        <v>3</v>
      </c>
      <c r="H26" s="51">
        <v>76415</v>
      </c>
      <c r="I26" s="442" t="s">
        <v>455</v>
      </c>
      <c r="J26" s="143">
        <v>250</v>
      </c>
      <c r="K26" s="573"/>
      <c r="L26" s="132"/>
      <c r="M26" s="51">
        <v>3</v>
      </c>
      <c r="N26" s="51"/>
      <c r="O26" s="450"/>
      <c r="P26" s="352"/>
      <c r="Q26" s="543"/>
      <c r="R26" s="646"/>
      <c r="S26" s="51">
        <v>3</v>
      </c>
      <c r="T26" s="51">
        <v>76525</v>
      </c>
      <c r="U26" s="491" t="s">
        <v>1165</v>
      </c>
      <c r="V26" s="351">
        <v>300</v>
      </c>
      <c r="W26" s="131"/>
      <c r="X26" s="132"/>
      <c r="Y26" s="51">
        <v>9</v>
      </c>
      <c r="Z26" s="51"/>
      <c r="AA26" s="448"/>
      <c r="AB26" s="353"/>
      <c r="AC26" s="131"/>
      <c r="AD26" s="648"/>
      <c r="AE26" s="516"/>
    </row>
    <row r="27" spans="1:31" ht="16.2" customHeight="1" thickTop="1" thickBot="1">
      <c r="A27" s="51">
        <v>3</v>
      </c>
      <c r="B27" s="51">
        <v>76374</v>
      </c>
      <c r="C27" s="491" t="s">
        <v>1558</v>
      </c>
      <c r="D27" s="143">
        <v>50</v>
      </c>
      <c r="E27" s="131"/>
      <c r="F27" s="132"/>
      <c r="G27" s="51">
        <v>3</v>
      </c>
      <c r="H27" s="51">
        <v>76421</v>
      </c>
      <c r="I27" s="442" t="s">
        <v>456</v>
      </c>
      <c r="J27" s="143">
        <v>150</v>
      </c>
      <c r="K27" s="573"/>
      <c r="L27" s="132"/>
      <c r="M27" s="51">
        <v>4</v>
      </c>
      <c r="N27" s="51"/>
      <c r="O27" s="551" t="s">
        <v>123</v>
      </c>
      <c r="P27" s="301">
        <f>SUM(P18:P26)</f>
        <v>1250</v>
      </c>
      <c r="Q27" s="579"/>
      <c r="R27" s="308">
        <f>SUM(R18:R26)</f>
        <v>0</v>
      </c>
      <c r="S27" s="51">
        <v>3</v>
      </c>
      <c r="T27" s="51">
        <v>76527</v>
      </c>
      <c r="U27" s="491" t="s">
        <v>1166</v>
      </c>
      <c r="V27" s="544">
        <v>250</v>
      </c>
      <c r="W27" s="515"/>
      <c r="X27" s="132"/>
      <c r="Y27" s="51"/>
      <c r="Z27" s="51"/>
      <c r="AA27" s="448"/>
      <c r="AB27" s="353"/>
      <c r="AC27" s="131"/>
      <c r="AD27" s="648"/>
      <c r="AE27" s="516"/>
    </row>
    <row r="28" spans="1:31" ht="16.2" customHeight="1" thickTop="1">
      <c r="A28" s="51">
        <v>3</v>
      </c>
      <c r="B28" s="51"/>
      <c r="C28" s="450"/>
      <c r="D28" s="353"/>
      <c r="E28" s="131"/>
      <c r="F28" s="132"/>
      <c r="G28" s="51">
        <v>3</v>
      </c>
      <c r="H28" s="51">
        <v>76423</v>
      </c>
      <c r="I28" s="442" t="s">
        <v>1102</v>
      </c>
      <c r="J28" s="143">
        <v>300</v>
      </c>
      <c r="K28" s="573"/>
      <c r="L28" s="132"/>
      <c r="M28" s="51">
        <v>2</v>
      </c>
      <c r="N28" s="488" t="s">
        <v>1418</v>
      </c>
      <c r="O28" s="855" t="s">
        <v>853</v>
      </c>
      <c r="P28" s="856"/>
      <c r="Q28" s="856"/>
      <c r="R28" s="857"/>
      <c r="S28" s="51">
        <v>3</v>
      </c>
      <c r="T28" s="51">
        <v>76529</v>
      </c>
      <c r="U28" s="491" t="s">
        <v>861</v>
      </c>
      <c r="V28" s="544">
        <v>200</v>
      </c>
      <c r="W28" s="261"/>
      <c r="X28" s="132"/>
      <c r="Y28" s="51"/>
      <c r="Z28" s="51"/>
      <c r="AA28" s="448"/>
      <c r="AB28" s="353"/>
      <c r="AC28" s="131"/>
      <c r="AD28" s="648"/>
      <c r="AE28" s="516"/>
    </row>
    <row r="29" spans="1:31" ht="16.2" customHeight="1">
      <c r="A29" s="51">
        <v>3</v>
      </c>
      <c r="B29" s="51"/>
      <c r="C29" s="450"/>
      <c r="D29" s="353"/>
      <c r="E29" s="131"/>
      <c r="F29" s="132"/>
      <c r="G29" s="51">
        <v>3</v>
      </c>
      <c r="H29" s="51">
        <v>76425</v>
      </c>
      <c r="I29" s="442" t="s">
        <v>1335</v>
      </c>
      <c r="J29" s="143">
        <v>650</v>
      </c>
      <c r="K29" s="573"/>
      <c r="L29" s="132"/>
      <c r="M29" s="51">
        <v>3</v>
      </c>
      <c r="N29" s="51">
        <v>76471</v>
      </c>
      <c r="O29" s="491" t="s">
        <v>1553</v>
      </c>
      <c r="P29" s="352">
        <v>150</v>
      </c>
      <c r="Q29" s="515"/>
      <c r="R29" s="132"/>
      <c r="S29" s="51">
        <v>3</v>
      </c>
      <c r="T29" s="51">
        <v>76531</v>
      </c>
      <c r="U29" s="491" t="s">
        <v>1305</v>
      </c>
      <c r="V29" s="149">
        <v>100</v>
      </c>
      <c r="W29" s="131"/>
      <c r="X29" s="132"/>
      <c r="Y29" s="51"/>
      <c r="Z29" s="51"/>
      <c r="AA29" s="448"/>
      <c r="AB29" s="353"/>
      <c r="AC29" s="131"/>
      <c r="AD29" s="648"/>
      <c r="AE29" s="516"/>
    </row>
    <row r="30" spans="1:31" ht="16.2" customHeight="1">
      <c r="A30" s="51">
        <v>3</v>
      </c>
      <c r="B30" s="51"/>
      <c r="C30" s="450"/>
      <c r="D30" s="353"/>
      <c r="E30" s="131"/>
      <c r="F30" s="132"/>
      <c r="G30" s="51">
        <v>3</v>
      </c>
      <c r="H30" s="51">
        <v>76427</v>
      </c>
      <c r="I30" s="491" t="s">
        <v>1334</v>
      </c>
      <c r="J30" s="143">
        <v>200</v>
      </c>
      <c r="K30" s="515"/>
      <c r="L30" s="132"/>
      <c r="M30" s="51">
        <v>3</v>
      </c>
      <c r="N30" s="51">
        <v>76473</v>
      </c>
      <c r="O30" s="450" t="s">
        <v>1161</v>
      </c>
      <c r="P30" s="143">
        <v>200</v>
      </c>
      <c r="Q30" s="515"/>
      <c r="R30" s="132"/>
      <c r="S30" s="51">
        <v>3</v>
      </c>
      <c r="T30" s="51">
        <v>76533</v>
      </c>
      <c r="U30" s="457" t="s">
        <v>814</v>
      </c>
      <c r="V30" s="353">
        <v>100</v>
      </c>
      <c r="W30" s="594"/>
      <c r="X30" s="133"/>
      <c r="Y30" s="51"/>
      <c r="Z30" s="51"/>
      <c r="AA30" s="448"/>
      <c r="AB30" s="353"/>
      <c r="AC30" s="131"/>
      <c r="AD30" s="648"/>
      <c r="AE30" s="516"/>
    </row>
    <row r="31" spans="1:31" ht="16.2" customHeight="1">
      <c r="A31" s="51">
        <v>3</v>
      </c>
      <c r="B31" s="51"/>
      <c r="C31" s="491"/>
      <c r="D31" s="143"/>
      <c r="E31" s="543"/>
      <c r="F31" s="132"/>
      <c r="G31" s="51">
        <v>3</v>
      </c>
      <c r="H31" s="51">
        <v>76429</v>
      </c>
      <c r="I31" s="457" t="s">
        <v>1333</v>
      </c>
      <c r="J31" s="353">
        <v>950</v>
      </c>
      <c r="K31" s="519"/>
      <c r="L31" s="132"/>
      <c r="M31" s="51">
        <v>3</v>
      </c>
      <c r="N31" s="51">
        <v>76477</v>
      </c>
      <c r="O31" s="450" t="s">
        <v>1162</v>
      </c>
      <c r="P31" s="143">
        <v>350</v>
      </c>
      <c r="Q31" s="515"/>
      <c r="R31" s="132"/>
      <c r="S31" s="51">
        <v>3</v>
      </c>
      <c r="T31" s="51">
        <v>76535</v>
      </c>
      <c r="U31" s="491" t="s">
        <v>862</v>
      </c>
      <c r="V31" s="143">
        <v>100</v>
      </c>
      <c r="W31" s="596"/>
      <c r="X31" s="132"/>
      <c r="Y31" s="51"/>
      <c r="Z31" s="51"/>
      <c r="AA31" s="448"/>
      <c r="AB31" s="353"/>
      <c r="AC31" s="131"/>
      <c r="AD31" s="648"/>
      <c r="AE31" s="516"/>
    </row>
    <row r="32" spans="1:31" ht="16.2" customHeight="1" thickBot="1">
      <c r="A32" s="51">
        <v>3</v>
      </c>
      <c r="B32" s="51"/>
      <c r="C32" s="604"/>
      <c r="D32" s="650"/>
      <c r="E32" s="625"/>
      <c r="F32" s="651"/>
      <c r="G32" s="51">
        <v>3</v>
      </c>
      <c r="H32" s="51">
        <v>76431</v>
      </c>
      <c r="I32" s="457" t="s">
        <v>1332</v>
      </c>
      <c r="J32" s="353">
        <v>200</v>
      </c>
      <c r="K32" s="519"/>
      <c r="L32" s="132"/>
      <c r="M32" s="51">
        <v>3</v>
      </c>
      <c r="N32" s="51">
        <v>76483</v>
      </c>
      <c r="O32" s="491" t="s">
        <v>1468</v>
      </c>
      <c r="P32" s="597">
        <v>500</v>
      </c>
      <c r="Q32" s="515"/>
      <c r="R32" s="132"/>
      <c r="S32" s="51">
        <v>3</v>
      </c>
      <c r="T32" s="51">
        <v>76537</v>
      </c>
      <c r="U32" s="747" t="s">
        <v>1644</v>
      </c>
      <c r="V32" s="143">
        <v>100</v>
      </c>
      <c r="W32" s="596"/>
      <c r="X32" s="132"/>
      <c r="Y32" s="51"/>
      <c r="Z32" s="51"/>
      <c r="AA32" s="448"/>
      <c r="AB32" s="353"/>
      <c r="AC32" s="131"/>
      <c r="AD32" s="648"/>
      <c r="AE32" s="516"/>
    </row>
    <row r="33" spans="1:31" ht="16.2" customHeight="1" thickTop="1" thickBot="1">
      <c r="A33" s="51">
        <v>4</v>
      </c>
      <c r="B33" s="51"/>
      <c r="C33" s="551" t="s">
        <v>574</v>
      </c>
      <c r="D33" s="580">
        <f>SUM(D14:D32)</f>
        <v>7450</v>
      </c>
      <c r="E33" s="305"/>
      <c r="F33" s="308">
        <f>SUM(F14:F30)</f>
        <v>0</v>
      </c>
      <c r="G33" s="51">
        <v>3</v>
      </c>
      <c r="H33" s="51">
        <v>76433</v>
      </c>
      <c r="I33" s="491" t="s">
        <v>1280</v>
      </c>
      <c r="J33" s="143">
        <v>100</v>
      </c>
      <c r="K33" s="515"/>
      <c r="L33" s="132"/>
      <c r="M33" s="51">
        <v>3</v>
      </c>
      <c r="N33" s="51">
        <v>76485</v>
      </c>
      <c r="O33" s="457" t="s">
        <v>854</v>
      </c>
      <c r="P33" s="586">
        <v>300</v>
      </c>
      <c r="Q33" s="519"/>
      <c r="R33" s="132"/>
      <c r="S33" s="51">
        <v>3</v>
      </c>
      <c r="T33" s="51">
        <v>76539</v>
      </c>
      <c r="U33" s="491" t="s">
        <v>863</v>
      </c>
      <c r="V33" s="493" t="s">
        <v>1566</v>
      </c>
      <c r="W33" s="594"/>
      <c r="X33" s="132"/>
      <c r="Y33" s="51"/>
      <c r="Z33" s="51"/>
      <c r="AA33" s="448"/>
      <c r="AB33" s="353"/>
      <c r="AC33" s="131"/>
      <c r="AD33" s="648"/>
      <c r="AE33" s="516"/>
    </row>
    <row r="34" spans="1:31" ht="16.2" customHeight="1" thickTop="1">
      <c r="A34" s="51">
        <v>2</v>
      </c>
      <c r="B34" s="488" t="s">
        <v>1414</v>
      </c>
      <c r="C34" s="852" t="s">
        <v>360</v>
      </c>
      <c r="D34" s="853"/>
      <c r="E34" s="853"/>
      <c r="F34" s="854"/>
      <c r="G34" s="51">
        <v>3</v>
      </c>
      <c r="H34" s="51">
        <v>76435</v>
      </c>
      <c r="I34" s="491" t="s">
        <v>1331</v>
      </c>
      <c r="J34" s="143">
        <v>300</v>
      </c>
      <c r="K34" s="515"/>
      <c r="L34" s="132"/>
      <c r="M34" s="51">
        <v>3</v>
      </c>
      <c r="N34" s="51">
        <v>76487</v>
      </c>
      <c r="O34" s="491" t="s">
        <v>1218</v>
      </c>
      <c r="P34" s="357">
        <v>350</v>
      </c>
      <c r="Q34" s="772"/>
      <c r="R34" s="647"/>
      <c r="S34" s="51">
        <v>3</v>
      </c>
      <c r="T34" s="51">
        <v>76541</v>
      </c>
      <c r="U34" s="450" t="s">
        <v>865</v>
      </c>
      <c r="V34" s="352">
        <v>100</v>
      </c>
      <c r="W34" s="596"/>
      <c r="X34" s="132"/>
      <c r="Y34" s="51"/>
      <c r="Z34" s="51"/>
      <c r="AA34" s="448"/>
      <c r="AB34" s="353"/>
      <c r="AC34" s="131"/>
      <c r="AD34" s="648"/>
      <c r="AE34" s="516"/>
    </row>
    <row r="35" spans="1:31" ht="16.2" customHeight="1">
      <c r="A35" s="51">
        <v>3</v>
      </c>
      <c r="B35" s="51">
        <v>76377</v>
      </c>
      <c r="C35" s="450" t="s">
        <v>786</v>
      </c>
      <c r="D35" s="267">
        <v>350</v>
      </c>
      <c r="E35" s="135"/>
      <c r="F35" s="132"/>
      <c r="G35" s="51">
        <v>3</v>
      </c>
      <c r="H35" s="51">
        <v>76437</v>
      </c>
      <c r="I35" s="747" t="s">
        <v>1525</v>
      </c>
      <c r="J35" s="143">
        <v>100</v>
      </c>
      <c r="K35" s="515"/>
      <c r="L35" s="132"/>
      <c r="M35" s="51">
        <v>3</v>
      </c>
      <c r="N35" s="51">
        <v>76489</v>
      </c>
      <c r="O35" s="450" t="s">
        <v>1517</v>
      </c>
      <c r="P35" s="352">
        <v>550</v>
      </c>
      <c r="Q35" s="543"/>
      <c r="R35" s="157"/>
      <c r="S35" s="51">
        <v>3</v>
      </c>
      <c r="T35" s="51">
        <v>76543</v>
      </c>
      <c r="U35" s="491" t="s">
        <v>866</v>
      </c>
      <c r="V35" s="143">
        <v>100</v>
      </c>
      <c r="W35" s="634"/>
      <c r="X35" s="132"/>
      <c r="Y35" s="51"/>
      <c r="Z35" s="51"/>
      <c r="AA35" s="448"/>
      <c r="AB35" s="353"/>
      <c r="AC35" s="131"/>
      <c r="AD35" s="648"/>
      <c r="AE35" s="516"/>
    </row>
    <row r="36" spans="1:31" ht="16.2" customHeight="1">
      <c r="A36" s="51">
        <v>3</v>
      </c>
      <c r="B36" s="51">
        <v>76379</v>
      </c>
      <c r="C36" s="450" t="s">
        <v>1379</v>
      </c>
      <c r="D36" s="353">
        <v>250</v>
      </c>
      <c r="E36" s="573"/>
      <c r="F36" s="132"/>
      <c r="G36" s="51">
        <v>3</v>
      </c>
      <c r="H36" s="51">
        <v>76443</v>
      </c>
      <c r="I36" s="457" t="s">
        <v>1308</v>
      </c>
      <c r="J36" s="542">
        <v>50</v>
      </c>
      <c r="K36" s="519"/>
      <c r="L36" s="132"/>
      <c r="M36" s="51">
        <v>3</v>
      </c>
      <c r="N36" s="51">
        <v>76491</v>
      </c>
      <c r="O36" s="491" t="s">
        <v>855</v>
      </c>
      <c r="P36" s="143">
        <v>150</v>
      </c>
      <c r="Q36" s="515"/>
      <c r="R36" s="132"/>
      <c r="S36" s="51">
        <v>3</v>
      </c>
      <c r="T36" s="51">
        <v>76545</v>
      </c>
      <c r="U36" s="491" t="s">
        <v>867</v>
      </c>
      <c r="V36" s="143">
        <v>50</v>
      </c>
      <c r="W36" s="596"/>
      <c r="X36" s="132"/>
      <c r="Y36" s="51"/>
      <c r="Z36" s="51"/>
      <c r="AA36" s="448"/>
      <c r="AB36" s="353"/>
      <c r="AC36" s="131"/>
      <c r="AD36" s="648"/>
      <c r="AE36" s="516"/>
    </row>
    <row r="37" spans="1:31" ht="16.2" customHeight="1">
      <c r="A37" s="51">
        <v>3</v>
      </c>
      <c r="B37" s="51">
        <v>76381</v>
      </c>
      <c r="C37" s="450" t="s">
        <v>787</v>
      </c>
      <c r="D37" s="353">
        <v>100</v>
      </c>
      <c r="E37" s="573"/>
      <c r="F37" s="132"/>
      <c r="G37" s="51">
        <v>3</v>
      </c>
      <c r="H37" s="51">
        <v>76445</v>
      </c>
      <c r="I37" s="491" t="s">
        <v>1309</v>
      </c>
      <c r="J37" s="149">
        <v>50</v>
      </c>
      <c r="K37" s="515"/>
      <c r="L37" s="132"/>
      <c r="M37" s="51">
        <v>3</v>
      </c>
      <c r="N37" s="488">
        <v>76493</v>
      </c>
      <c r="O37" s="491" t="s">
        <v>1316</v>
      </c>
      <c r="P37" s="143">
        <v>500</v>
      </c>
      <c r="Q37" s="515"/>
      <c r="R37" s="132"/>
      <c r="S37" s="51">
        <v>3</v>
      </c>
      <c r="T37" s="51"/>
      <c r="U37" s="491"/>
      <c r="V37" s="351"/>
      <c r="W37" s="131"/>
      <c r="X37" s="132"/>
      <c r="Y37" s="51"/>
      <c r="Z37" s="51"/>
      <c r="AA37" s="448"/>
      <c r="AB37" s="353"/>
      <c r="AC37" s="131"/>
      <c r="AD37" s="648"/>
      <c r="AE37" s="560"/>
    </row>
    <row r="38" spans="1:31" ht="16.2" customHeight="1">
      <c r="A38" s="51">
        <v>3</v>
      </c>
      <c r="B38" s="51">
        <v>76385</v>
      </c>
      <c r="C38" s="450" t="s">
        <v>1105</v>
      </c>
      <c r="D38" s="143">
        <v>950</v>
      </c>
      <c r="E38" s="519"/>
      <c r="F38" s="132"/>
      <c r="G38" s="51">
        <v>3</v>
      </c>
      <c r="H38" s="51">
        <v>76449</v>
      </c>
      <c r="I38" s="454" t="s">
        <v>1613</v>
      </c>
      <c r="J38" s="2">
        <v>250</v>
      </c>
      <c r="K38" s="543"/>
      <c r="L38" s="132"/>
      <c r="M38" s="51">
        <v>3</v>
      </c>
      <c r="N38" s="51">
        <v>76495</v>
      </c>
      <c r="O38" s="491" t="s">
        <v>856</v>
      </c>
      <c r="P38" s="597">
        <v>500</v>
      </c>
      <c r="Q38" s="519"/>
      <c r="R38" s="132"/>
      <c r="S38" s="51">
        <v>3</v>
      </c>
      <c r="T38" s="51"/>
      <c r="U38" s="491"/>
      <c r="V38" s="544"/>
      <c r="W38" s="515"/>
      <c r="X38" s="132"/>
      <c r="Y38" s="51"/>
      <c r="Z38" s="51"/>
      <c r="AA38" s="448"/>
      <c r="AB38" s="353"/>
      <c r="AC38" s="131"/>
      <c r="AD38" s="648"/>
      <c r="AE38" s="560"/>
    </row>
    <row r="39" spans="1:31" ht="16.2" customHeight="1">
      <c r="A39" s="51">
        <v>3</v>
      </c>
      <c r="B39" s="51">
        <v>76387</v>
      </c>
      <c r="C39" s="450" t="s">
        <v>1106</v>
      </c>
      <c r="D39" s="359">
        <v>550</v>
      </c>
      <c r="E39" s="515"/>
      <c r="F39" s="132"/>
      <c r="G39" s="51">
        <v>3</v>
      </c>
      <c r="H39" s="51"/>
      <c r="I39" s="491"/>
      <c r="J39" s="149"/>
      <c r="K39" s="543"/>
      <c r="L39" s="132"/>
      <c r="M39" s="51">
        <v>3</v>
      </c>
      <c r="N39" s="51">
        <v>76497</v>
      </c>
      <c r="O39" s="457" t="s">
        <v>857</v>
      </c>
      <c r="P39" s="586">
        <v>50</v>
      </c>
      <c r="Q39" s="515"/>
      <c r="R39" s="132"/>
      <c r="S39" s="51">
        <v>3</v>
      </c>
      <c r="T39" s="51"/>
      <c r="U39" s="491"/>
      <c r="V39" s="544"/>
      <c r="W39" s="261"/>
      <c r="X39" s="132"/>
      <c r="Y39" s="51"/>
      <c r="Z39" s="51"/>
      <c r="AA39" s="448"/>
      <c r="AB39" s="353"/>
      <c r="AC39" s="131"/>
      <c r="AD39" s="648"/>
      <c r="AE39" s="560"/>
    </row>
    <row r="40" spans="1:31" ht="16.2" customHeight="1" thickBot="1">
      <c r="A40" s="51">
        <v>3</v>
      </c>
      <c r="B40" s="51">
        <v>76389</v>
      </c>
      <c r="C40" s="491" t="s">
        <v>788</v>
      </c>
      <c r="D40" s="359">
        <v>700</v>
      </c>
      <c r="E40" s="515"/>
      <c r="F40" s="405"/>
      <c r="G40" s="51">
        <v>3</v>
      </c>
      <c r="H40" s="51"/>
      <c r="I40" s="491"/>
      <c r="J40" s="143"/>
      <c r="K40" s="543"/>
      <c r="L40" s="132"/>
      <c r="M40" s="51">
        <v>3</v>
      </c>
      <c r="N40" s="51">
        <v>76499</v>
      </c>
      <c r="O40" s="491" t="s">
        <v>858</v>
      </c>
      <c r="P40" s="544">
        <v>150</v>
      </c>
      <c r="Q40" s="616"/>
      <c r="R40" s="132"/>
      <c r="S40" s="51">
        <v>3</v>
      </c>
      <c r="T40" s="51"/>
      <c r="U40" s="491"/>
      <c r="V40" s="149"/>
      <c r="W40" s="131"/>
      <c r="X40" s="132"/>
      <c r="Y40" s="51"/>
      <c r="Z40" s="51"/>
      <c r="AA40" s="448"/>
      <c r="AB40" s="353"/>
      <c r="AC40" s="131"/>
      <c r="AD40" s="648"/>
      <c r="AE40" s="560"/>
    </row>
    <row r="41" spans="1:31" ht="16.2" customHeight="1" thickTop="1" thickBot="1">
      <c r="A41" s="51">
        <v>3</v>
      </c>
      <c r="B41" s="51">
        <v>76391</v>
      </c>
      <c r="C41" s="604" t="s">
        <v>789</v>
      </c>
      <c r="D41" s="760">
        <v>250</v>
      </c>
      <c r="E41" s="566"/>
      <c r="F41" s="185"/>
      <c r="G41" s="51">
        <v>4</v>
      </c>
      <c r="H41" s="51"/>
      <c r="I41" s="551" t="s">
        <v>122</v>
      </c>
      <c r="J41" s="301">
        <f>SUM(J22:J40)</f>
        <v>5150</v>
      </c>
      <c r="K41" s="579"/>
      <c r="L41" s="635">
        <f>SUM(L22:L40)</f>
        <v>0</v>
      </c>
      <c r="M41" s="51">
        <v>3</v>
      </c>
      <c r="N41" s="51">
        <v>76506</v>
      </c>
      <c r="O41" s="604" t="s">
        <v>1612</v>
      </c>
      <c r="P41" s="771">
        <v>200</v>
      </c>
      <c r="Q41" s="566"/>
      <c r="R41" s="185"/>
      <c r="S41" s="51">
        <v>4</v>
      </c>
      <c r="T41" s="51"/>
      <c r="U41" s="551" t="s">
        <v>366</v>
      </c>
      <c r="V41" s="301">
        <f>SUM(V23:V40)</f>
        <v>1950</v>
      </c>
      <c r="W41" s="589"/>
      <c r="X41" s="308">
        <f>SUM(X23:X40)</f>
        <v>0</v>
      </c>
      <c r="Y41" s="51"/>
      <c r="Z41" s="51"/>
      <c r="AA41" s="668"/>
      <c r="AB41" s="605"/>
      <c r="AC41" s="276"/>
      <c r="AD41" s="651"/>
      <c r="AE41" s="560"/>
    </row>
    <row r="42" spans="1:31" ht="15.75" customHeight="1" thickTop="1">
      <c r="A42" s="51">
        <v>9</v>
      </c>
      <c r="B42" s="51"/>
      <c r="D42" s="489"/>
      <c r="E42" s="224"/>
      <c r="F42" s="489"/>
      <c r="G42" s="51">
        <v>9</v>
      </c>
      <c r="H42" s="51"/>
      <c r="M42" s="51">
        <v>9</v>
      </c>
      <c r="N42" s="51"/>
      <c r="O42" s="489"/>
      <c r="P42" s="489"/>
      <c r="Q42" s="489"/>
      <c r="R42" s="489"/>
      <c r="S42" s="51">
        <v>9</v>
      </c>
      <c r="T42" s="51"/>
      <c r="Y42" s="51"/>
      <c r="Z42" s="51"/>
      <c r="AD42" s="610" t="s">
        <v>1131</v>
      </c>
      <c r="AE42" s="630">
        <f>D33+J20+J41+P16+P27+V21+V41+AB25</f>
        <v>25600</v>
      </c>
    </row>
    <row r="43" spans="1:31" ht="16.2" customHeight="1">
      <c r="C43" s="489"/>
      <c r="D43" s="489"/>
      <c r="E43" s="489"/>
      <c r="F43" s="489"/>
      <c r="G43" s="489"/>
      <c r="H43" s="51"/>
      <c r="I43" s="653"/>
      <c r="J43" s="150"/>
      <c r="O43" s="571"/>
      <c r="P43" s="489"/>
      <c r="Q43" s="489"/>
      <c r="R43" s="489"/>
      <c r="S43" s="489"/>
      <c r="T43" s="489"/>
      <c r="U43" s="224"/>
      <c r="V43" s="609"/>
      <c r="W43" s="489"/>
      <c r="X43" s="489"/>
      <c r="Y43" s="489"/>
      <c r="Z43" s="489"/>
      <c r="AD43" s="610" t="s">
        <v>1132</v>
      </c>
      <c r="AE43" s="93">
        <f>F33+L20+L41+R16+R27+X21+X41+AD25</f>
        <v>0</v>
      </c>
    </row>
    <row r="44" spans="1:31" ht="16.2" customHeight="1">
      <c r="C44" s="489"/>
      <c r="D44" s="489"/>
      <c r="E44" s="489"/>
      <c r="F44" s="489"/>
      <c r="G44" s="489"/>
      <c r="H44" s="489"/>
      <c r="O44" s="571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</row>
    <row r="45" spans="1:31" ht="16.2" customHeight="1"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571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</row>
    <row r="46" spans="1:31" ht="16.2" customHeight="1"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571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C46" s="489"/>
      <c r="AD46" s="489"/>
      <c r="AE46" s="489"/>
    </row>
    <row r="47" spans="1:31" ht="16.2" customHeight="1"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571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C47" s="489"/>
      <c r="AD47" s="489"/>
      <c r="AE47" s="489"/>
    </row>
    <row r="48" spans="1:31" ht="16.2" customHeight="1"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571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3:31" ht="16.2" customHeight="1"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571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3:31" ht="16.2" customHeight="1"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571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3:31" ht="16.2" customHeight="1"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571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3:31" ht="16.2" customHeight="1"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571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3:31" ht="16.2" customHeight="1"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571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3:31" ht="16.2" customHeight="1"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571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</row>
    <row r="55" spans="3:31" ht="16.2" customHeight="1"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571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3:31" ht="16.2" customHeight="1"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571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</row>
    <row r="57" spans="3:31" ht="16.2" customHeight="1"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571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</row>
    <row r="58" spans="3:31" ht="16.2" customHeight="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571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</row>
    <row r="59" spans="3:31" ht="16.2" customHeight="1"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571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</row>
    <row r="60" spans="3:31" ht="16.2" customHeight="1"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571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</row>
    <row r="61" spans="3:31" ht="16.2" customHeight="1"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571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</row>
    <row r="62" spans="3:31" ht="16.2" customHeight="1"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571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</row>
    <row r="63" spans="3:31" ht="16.2" customHeight="1"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571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</row>
    <row r="64" spans="3:31" ht="16.2" customHeight="1"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571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</row>
    <row r="65" spans="3:31" ht="16.2" customHeight="1"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571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</row>
    <row r="66" spans="3:31" ht="16.2" customHeight="1"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571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</row>
    <row r="67" spans="3:31" ht="16.2" customHeight="1"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571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</row>
    <row r="68" spans="3:31" ht="16.2" customHeight="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571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</row>
    <row r="69" spans="3:31" ht="16.2" customHeight="1"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571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</row>
    <row r="70" spans="3:31" ht="16.2" customHeight="1"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571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</row>
    <row r="71" spans="3:31" ht="16.2" customHeight="1"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571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</row>
    <row r="72" spans="3:31" ht="16.2" customHeight="1"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571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3:31" ht="16.2" customHeight="1"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571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</row>
    <row r="74" spans="3:31" ht="16.2" customHeight="1"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</row>
    <row r="75" spans="3:31" ht="16.2" customHeight="1"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</row>
    <row r="76" spans="3:31" ht="16.2" customHeight="1"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</row>
    <row r="77" spans="3:31" ht="16.2" customHeight="1"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</row>
    <row r="78" spans="3:31" ht="16.2" customHeight="1"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</row>
    <row r="79" spans="3:31" ht="16.2" customHeight="1"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</row>
    <row r="80" spans="3:31" ht="16.2" customHeight="1"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</row>
    <row r="81" spans="3:31" ht="16.2" customHeight="1"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</row>
    <row r="82" spans="3:31" ht="16.2" customHeight="1"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</row>
    <row r="83" spans="3:31" ht="16.2" customHeight="1"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</row>
    <row r="84" spans="3:31" ht="16.2" customHeight="1"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89"/>
    </row>
    <row r="85" spans="3:31" ht="16.2" customHeight="1"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</row>
    <row r="86" spans="3:31" ht="16.2" customHeight="1"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  <c r="V86" s="489"/>
      <c r="W86" s="489"/>
      <c r="X86" s="489"/>
      <c r="Y86" s="489"/>
      <c r="Z86" s="489"/>
      <c r="AA86" s="489"/>
      <c r="AB86" s="489"/>
      <c r="AC86" s="489"/>
      <c r="AD86" s="489"/>
      <c r="AE86" s="489"/>
    </row>
    <row r="87" spans="3:31" ht="16.2" customHeight="1">
      <c r="C87" s="489"/>
      <c r="D87" s="489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</row>
    <row r="88" spans="3:31" ht="16.2" customHeight="1"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</row>
    <row r="89" spans="3:31" ht="16.2" customHeight="1"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</row>
    <row r="90" spans="3:31" ht="16.2" customHeight="1"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89"/>
    </row>
    <row r="91" spans="3:31" ht="16.2" customHeight="1"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</row>
    <row r="92" spans="3:31" ht="16.2" customHeight="1"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489"/>
      <c r="AD92" s="489"/>
      <c r="AE92" s="489"/>
    </row>
    <row r="93" spans="3:31" ht="16.2" customHeight="1"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89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89"/>
      <c r="AC93" s="489"/>
      <c r="AD93" s="489"/>
      <c r="AE93" s="489"/>
    </row>
    <row r="94" spans="3:31" ht="16.2" customHeight="1"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89"/>
      <c r="O94" s="489"/>
      <c r="P94" s="489"/>
      <c r="Q94" s="489"/>
      <c r="R94" s="489"/>
      <c r="S94" s="489"/>
      <c r="T94" s="489"/>
      <c r="U94" s="489"/>
      <c r="V94" s="489"/>
      <c r="W94" s="489"/>
      <c r="X94" s="489"/>
      <c r="Y94" s="489"/>
      <c r="Z94" s="489"/>
      <c r="AA94" s="489"/>
      <c r="AB94" s="489"/>
      <c r="AC94" s="489"/>
      <c r="AD94" s="489"/>
      <c r="AE94" s="489"/>
    </row>
    <row r="95" spans="3:31" ht="16.2" customHeight="1"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</row>
    <row r="96" spans="3:31" ht="16.2" customHeight="1">
      <c r="C96" s="489"/>
      <c r="D96" s="489"/>
      <c r="E96" s="489"/>
      <c r="F96" s="489"/>
      <c r="G96" s="489"/>
      <c r="H96" s="489"/>
      <c r="I96" s="489"/>
      <c r="J96" s="489"/>
      <c r="K96" s="489"/>
      <c r="L96" s="489"/>
      <c r="M96" s="489"/>
      <c r="N96" s="489"/>
      <c r="O96" s="489"/>
      <c r="P96" s="489"/>
      <c r="Q96" s="489"/>
      <c r="R96" s="489"/>
      <c r="S96" s="489"/>
      <c r="T96" s="489"/>
      <c r="U96" s="489"/>
      <c r="V96" s="489"/>
      <c r="W96" s="489"/>
      <c r="X96" s="489"/>
      <c r="Y96" s="489"/>
      <c r="Z96" s="489"/>
      <c r="AA96" s="489"/>
      <c r="AB96" s="489"/>
      <c r="AC96" s="489"/>
      <c r="AD96" s="489"/>
      <c r="AE96" s="489"/>
    </row>
    <row r="97" spans="3:31" ht="16.2" customHeight="1"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V97" s="489"/>
      <c r="W97" s="489"/>
      <c r="X97" s="489"/>
      <c r="Y97" s="489"/>
      <c r="Z97" s="489"/>
      <c r="AA97" s="489"/>
      <c r="AB97" s="489"/>
      <c r="AC97" s="489"/>
      <c r="AD97" s="489"/>
      <c r="AE97" s="489"/>
    </row>
    <row r="98" spans="3:31" ht="16.2" customHeight="1">
      <c r="C98" s="489"/>
      <c r="D98" s="489"/>
      <c r="E98" s="489"/>
      <c r="F98" s="489"/>
      <c r="G98" s="489"/>
      <c r="H98" s="489"/>
      <c r="I98" s="489"/>
      <c r="J98" s="489"/>
      <c r="K98" s="489"/>
      <c r="L98" s="489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</row>
    <row r="99" spans="3:31" ht="16.2" customHeight="1"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</row>
    <row r="100" spans="3:31" ht="16.2" customHeight="1"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89"/>
      <c r="AC100" s="489"/>
      <c r="AD100" s="489"/>
      <c r="AE100" s="489"/>
    </row>
    <row r="101" spans="3:31" ht="16.2" customHeight="1"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89"/>
      <c r="AE101" s="489"/>
    </row>
    <row r="102" spans="3:31" ht="16.2" customHeight="1"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</row>
    <row r="103" spans="3:31" ht="16.2" customHeight="1">
      <c r="C103" s="489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</row>
    <row r="104" spans="3:31" ht="16.2" customHeight="1"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</row>
    <row r="105" spans="3:31" ht="16.2" customHeight="1"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</row>
    <row r="106" spans="3:31" ht="16.2" customHeight="1"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89"/>
      <c r="V106" s="489"/>
      <c r="W106" s="489"/>
      <c r="X106" s="489"/>
      <c r="Y106" s="489"/>
      <c r="Z106" s="489"/>
      <c r="AA106" s="489"/>
      <c r="AB106" s="489"/>
      <c r="AC106" s="489"/>
      <c r="AD106" s="489"/>
      <c r="AE106" s="489"/>
    </row>
    <row r="107" spans="3:31" ht="16.2" customHeight="1"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</row>
    <row r="108" spans="3:31" ht="16.2" customHeight="1"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  <c r="AE108" s="489"/>
    </row>
    <row r="109" spans="3:31" ht="16.2" customHeight="1">
      <c r="C109" s="489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89"/>
      <c r="V109" s="489"/>
      <c r="W109" s="489"/>
      <c r="X109" s="489"/>
      <c r="Y109" s="489"/>
      <c r="Z109" s="489"/>
      <c r="AA109" s="489"/>
      <c r="AB109" s="489"/>
      <c r="AC109" s="489"/>
      <c r="AD109" s="489"/>
      <c r="AE109" s="489"/>
    </row>
    <row r="110" spans="3:31" ht="16.2" customHeight="1"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89"/>
      <c r="V110" s="489"/>
      <c r="W110" s="489"/>
      <c r="X110" s="489"/>
      <c r="Y110" s="489"/>
      <c r="Z110" s="489"/>
      <c r="AA110" s="489"/>
      <c r="AB110" s="489"/>
      <c r="AC110" s="489"/>
      <c r="AD110" s="489"/>
      <c r="AE110" s="489"/>
    </row>
    <row r="111" spans="3:31" ht="16.2" customHeight="1"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</row>
    <row r="112" spans="3:31" ht="16.2" customHeight="1"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89"/>
      <c r="V112" s="489"/>
      <c r="W112" s="489"/>
      <c r="X112" s="489"/>
      <c r="Y112" s="489"/>
      <c r="Z112" s="489"/>
      <c r="AA112" s="489"/>
      <c r="AB112" s="489"/>
      <c r="AC112" s="489"/>
      <c r="AD112" s="489"/>
      <c r="AE112" s="489"/>
    </row>
    <row r="113" spans="3:31" ht="16.2" customHeight="1"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</row>
    <row r="114" spans="3:31" ht="16.2" customHeight="1">
      <c r="C114" s="489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</row>
    <row r="115" spans="3:31" ht="16.2" customHeight="1"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</row>
    <row r="116" spans="3:31" ht="16.2" customHeight="1"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89"/>
      <c r="V116" s="489"/>
      <c r="W116" s="489"/>
      <c r="X116" s="489"/>
      <c r="Y116" s="489"/>
      <c r="Z116" s="489"/>
      <c r="AA116" s="489"/>
      <c r="AB116" s="489"/>
      <c r="AC116" s="489"/>
      <c r="AD116" s="489"/>
      <c r="AE116" s="489"/>
    </row>
    <row r="117" spans="3:31" ht="16.2" customHeight="1"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89"/>
      <c r="V117" s="489"/>
      <c r="W117" s="489"/>
      <c r="X117" s="489"/>
      <c r="Y117" s="489"/>
      <c r="Z117" s="489"/>
      <c r="AA117" s="489"/>
      <c r="AB117" s="489"/>
      <c r="AC117" s="489"/>
      <c r="AD117" s="489"/>
      <c r="AE117" s="489"/>
    </row>
    <row r="118" spans="3:31" ht="16.2" customHeight="1"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89"/>
      <c r="V118" s="489"/>
      <c r="W118" s="489"/>
      <c r="X118" s="489"/>
      <c r="Y118" s="489"/>
      <c r="Z118" s="489"/>
      <c r="AA118" s="489"/>
      <c r="AB118" s="489"/>
      <c r="AC118" s="489"/>
      <c r="AD118" s="489"/>
      <c r="AE118" s="489"/>
    </row>
    <row r="119" spans="3:31" ht="16.2" customHeight="1">
      <c r="C119" s="489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89"/>
      <c r="V119" s="489"/>
      <c r="W119" s="489"/>
      <c r="X119" s="489"/>
      <c r="Y119" s="489"/>
      <c r="Z119" s="489"/>
      <c r="AA119" s="489"/>
      <c r="AB119" s="489"/>
      <c r="AC119" s="489"/>
      <c r="AD119" s="489"/>
      <c r="AE119" s="489"/>
    </row>
    <row r="120" spans="3:31" ht="16.2" customHeight="1">
      <c r="U120" s="489"/>
      <c r="V120" s="489"/>
      <c r="W120" s="489"/>
      <c r="X120" s="489"/>
      <c r="Y120" s="489"/>
      <c r="Z120" s="489"/>
    </row>
  </sheetData>
  <sheetProtection formatCells="0"/>
  <mergeCells count="23">
    <mergeCell ref="U22:X22"/>
    <mergeCell ref="AA13:AD13"/>
    <mergeCell ref="AA5:AC6"/>
    <mergeCell ref="AA7:AE8"/>
    <mergeCell ref="AA10:AD10"/>
    <mergeCell ref="U13:X13"/>
    <mergeCell ref="U10:X10"/>
    <mergeCell ref="W5:X5"/>
    <mergeCell ref="W7:X7"/>
    <mergeCell ref="C2:F3"/>
    <mergeCell ref="D7:L8"/>
    <mergeCell ref="D5:L6"/>
    <mergeCell ref="P5:V6"/>
    <mergeCell ref="P7:Q8"/>
    <mergeCell ref="C34:F34"/>
    <mergeCell ref="I21:L21"/>
    <mergeCell ref="C10:F10"/>
    <mergeCell ref="I10:L10"/>
    <mergeCell ref="O10:R10"/>
    <mergeCell ref="C13:F13"/>
    <mergeCell ref="I13:L13"/>
    <mergeCell ref="O13:R13"/>
    <mergeCell ref="O28:R28"/>
  </mergeCells>
  <phoneticPr fontId="2"/>
  <conditionalFormatting sqref="L14:L17 R29:R31 R18:R25 R14 AD14:AD20 F14:F21 F35:F41 F23:F31 L22:L40 R35:R41 X20 X23:X40">
    <cfRule type="cellIs" dxfId="9" priority="25" operator="greaterThan">
      <formula>D14</formula>
    </cfRule>
  </conditionalFormatting>
  <conditionalFormatting sqref="R29:R33">
    <cfRule type="cellIs" dxfId="8" priority="8" operator="greaterThan">
      <formula>P29</formula>
    </cfRule>
  </conditionalFormatting>
  <conditionalFormatting sqref="AD14:AD20">
    <cfRule type="cellIs" dxfId="7" priority="5" operator="greaterThan">
      <formula>AB14</formula>
    </cfRule>
  </conditionalFormatting>
  <conditionalFormatting sqref="R34">
    <cfRule type="cellIs" dxfId="6" priority="3" operator="greaterThan">
      <formula>P34</formula>
    </cfRule>
  </conditionalFormatting>
  <conditionalFormatting sqref="X16:X19 X14">
    <cfRule type="cellIs" dxfId="5" priority="2" operator="greaterThan">
      <formula>V14</formula>
    </cfRule>
  </conditionalFormatting>
  <conditionalFormatting sqref="X31:X36">
    <cfRule type="cellIs" dxfId="4" priority="1" operator="greaterThan">
      <formula>V31</formula>
    </cfRule>
  </conditionalFormatting>
  <hyperlinks>
    <hyperlink ref="C2:F3" location="提案表紙!A1" display="大阪府折込資料表" xr:uid="{00000000-0004-0000-22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9" orientation="landscape" horizontalDpi="300" verticalDpi="300" r:id="rId1"/>
  <headerFooter alignWithMargins="0">
    <oddFooter xml:space="preserve">&amp;RP-31/34
</oddFooter>
  </headerFooter>
  <rowBreaks count="1" manualBreakCount="1">
    <brk id="43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3">
    <tabColor rgb="FFB6D2F5"/>
    <pageSetUpPr fitToPage="1"/>
  </sheetPr>
  <dimension ref="A1:AE121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7.4414062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4" width="8.6640625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6" width="8.6640625" hidden="1" customWidth="1"/>
    <col min="27" max="27" width="13.33203125" customWidth="1"/>
    <col min="28" max="28" width="6.77734375" customWidth="1"/>
    <col min="29" max="29" width="3.33203125" customWidth="1"/>
    <col min="30" max="30" width="8.77734375" customWidth="1"/>
  </cols>
  <sheetData>
    <row r="1" spans="1:31" ht="13.2" hidden="1">
      <c r="A1" s="338" t="s">
        <v>1369</v>
      </c>
      <c r="B1" s="51" t="s">
        <v>1370</v>
      </c>
      <c r="C1" s="22"/>
      <c r="F1" s="51" t="s">
        <v>301</v>
      </c>
      <c r="G1" s="338" t="s">
        <v>1369</v>
      </c>
      <c r="H1" s="51" t="s">
        <v>1370</v>
      </c>
      <c r="L1" s="51" t="s">
        <v>301</v>
      </c>
      <c r="M1" s="338" t="s">
        <v>1369</v>
      </c>
      <c r="N1" s="51" t="s">
        <v>1370</v>
      </c>
      <c r="O1" s="18"/>
      <c r="R1" s="51" t="s">
        <v>301</v>
      </c>
      <c r="S1" s="338" t="s">
        <v>1369</v>
      </c>
      <c r="T1" s="51" t="s">
        <v>1370</v>
      </c>
      <c r="U1" s="18"/>
      <c r="X1" s="51" t="s">
        <v>301</v>
      </c>
      <c r="Y1" s="338" t="s">
        <v>1369</v>
      </c>
      <c r="Z1" s="51" t="s">
        <v>1370</v>
      </c>
      <c r="AA1" s="18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S2" s="51"/>
      <c r="W2" s="500"/>
      <c r="X2" s="500" t="s">
        <v>1313</v>
      </c>
    </row>
    <row r="3" spans="1:31" ht="13.5" customHeight="1">
      <c r="C3" s="835"/>
      <c r="D3" s="835"/>
      <c r="E3" s="835"/>
      <c r="F3" s="835"/>
      <c r="G3" s="460"/>
      <c r="H3" s="460"/>
      <c r="I3" s="114" t="s">
        <v>270</v>
      </c>
      <c r="S3" s="51"/>
      <c r="W3" s="500"/>
      <c r="X3" s="500" t="s">
        <v>1501</v>
      </c>
    </row>
    <row r="4" spans="1:31" ht="13.5" customHeight="1">
      <c r="C4" t="s">
        <v>1236</v>
      </c>
      <c r="I4" s="187">
        <v>45717</v>
      </c>
      <c r="J4" s="186" t="s">
        <v>0</v>
      </c>
      <c r="K4" t="s">
        <v>257</v>
      </c>
      <c r="S4" s="51"/>
      <c r="W4" s="500"/>
      <c r="X4" s="500" t="s">
        <v>1500</v>
      </c>
    </row>
    <row r="5" spans="1:31" ht="13.2" customHeight="1">
      <c r="C5" s="7" t="s">
        <v>258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233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259</v>
      </c>
      <c r="X5" s="822"/>
      <c r="Y5" s="459"/>
      <c r="Z5" s="459"/>
      <c r="AA5" s="840"/>
      <c r="AB5" s="840"/>
      <c r="AC5" s="841"/>
      <c r="AD5" s="6" t="s">
        <v>260</v>
      </c>
      <c r="AE5" s="6" t="s">
        <v>260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261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1128</v>
      </c>
      <c r="P7" s="827">
        <f>提案表紙!G9</f>
        <v>0</v>
      </c>
      <c r="Q7" s="828"/>
      <c r="R7" s="7" t="s">
        <v>262</v>
      </c>
      <c r="U7" s="410">
        <f>AE43</f>
        <v>0</v>
      </c>
      <c r="V7" s="8"/>
      <c r="W7" s="821" t="s">
        <v>263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264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/>
    <row r="10" spans="1:31" ht="16.2" customHeight="1">
      <c r="A10" s="51">
        <v>1</v>
      </c>
      <c r="B10" s="51">
        <v>6</v>
      </c>
      <c r="C10" s="818" t="s">
        <v>596</v>
      </c>
      <c r="D10" s="819"/>
      <c r="E10" s="819"/>
      <c r="F10" s="820"/>
      <c r="G10" s="51">
        <v>1</v>
      </c>
      <c r="H10" s="51">
        <v>6</v>
      </c>
      <c r="I10" s="818" t="s">
        <v>596</v>
      </c>
      <c r="J10" s="819"/>
      <c r="K10" s="819"/>
      <c r="L10" s="820"/>
      <c r="M10" s="51">
        <v>1</v>
      </c>
      <c r="N10" s="51">
        <v>6</v>
      </c>
      <c r="O10" s="818" t="s">
        <v>596</v>
      </c>
      <c r="P10" s="819"/>
      <c r="Q10" s="819"/>
      <c r="R10" s="820"/>
      <c r="S10" s="51">
        <v>1</v>
      </c>
      <c r="T10" s="51">
        <v>6</v>
      </c>
      <c r="U10" s="818" t="s">
        <v>596</v>
      </c>
      <c r="V10" s="819"/>
      <c r="W10" s="819"/>
      <c r="X10" s="820"/>
      <c r="Y10" s="51">
        <v>1</v>
      </c>
      <c r="Z10" s="51">
        <v>6</v>
      </c>
      <c r="AA10" s="818" t="s">
        <v>596</v>
      </c>
      <c r="AB10" s="819"/>
      <c r="AC10" s="819"/>
      <c r="AD10" s="820"/>
      <c r="AE10" s="502" t="s">
        <v>265</v>
      </c>
    </row>
    <row r="11" spans="1:31" ht="16.2" customHeight="1">
      <c r="A11" s="51"/>
      <c r="B11" s="51"/>
      <c r="C11" s="503" t="s">
        <v>266</v>
      </c>
      <c r="D11" s="504" t="s">
        <v>267</v>
      </c>
      <c r="E11" s="319" t="s">
        <v>268</v>
      </c>
      <c r="F11" s="505" t="s">
        <v>236</v>
      </c>
      <c r="G11" s="51"/>
      <c r="H11" s="51"/>
      <c r="I11" s="503" t="s">
        <v>266</v>
      </c>
      <c r="J11" s="504" t="s">
        <v>267</v>
      </c>
      <c r="K11" s="319" t="s">
        <v>268</v>
      </c>
      <c r="L11" s="505" t="s">
        <v>236</v>
      </c>
      <c r="M11" s="51"/>
      <c r="N11" s="51"/>
      <c r="O11" s="503" t="s">
        <v>266</v>
      </c>
      <c r="P11" s="504" t="s">
        <v>267</v>
      </c>
      <c r="Q11" s="319" t="s">
        <v>268</v>
      </c>
      <c r="R11" s="505" t="s">
        <v>236</v>
      </c>
      <c r="S11" s="51"/>
      <c r="T11" s="51"/>
      <c r="U11" s="503" t="s">
        <v>266</v>
      </c>
      <c r="V11" s="504" t="s">
        <v>267</v>
      </c>
      <c r="W11" s="319" t="s">
        <v>268</v>
      </c>
      <c r="X11" s="505" t="s">
        <v>236</v>
      </c>
      <c r="Y11" s="51"/>
      <c r="Z11" s="51"/>
      <c r="AA11" s="503" t="s">
        <v>266</v>
      </c>
      <c r="AB11" s="504" t="s">
        <v>267</v>
      </c>
      <c r="AC11" s="319" t="s">
        <v>268</v>
      </c>
      <c r="AD11" s="505" t="s">
        <v>236</v>
      </c>
      <c r="AE11" s="507" t="s">
        <v>269</v>
      </c>
    </row>
    <row r="12" spans="1:31" ht="16.2" customHeight="1">
      <c r="A12" s="51"/>
      <c r="B12" s="51"/>
      <c r="C12" s="46"/>
      <c r="D12" s="30" ph="1"/>
      <c r="E12" s="24"/>
      <c r="F12" s="506"/>
      <c r="G12" s="51"/>
      <c r="H12" s="51"/>
      <c r="I12" s="18"/>
      <c r="J12" s="506"/>
      <c r="K12" s="24"/>
      <c r="L12" s="506"/>
      <c r="M12" s="51"/>
      <c r="N12" s="51"/>
      <c r="O12" s="18"/>
      <c r="P12" s="506"/>
      <c r="Q12" s="24"/>
      <c r="R12" s="506"/>
      <c r="S12" s="51"/>
      <c r="T12" s="51"/>
      <c r="U12" s="18"/>
      <c r="V12" s="506"/>
      <c r="W12" s="24"/>
      <c r="X12" s="506"/>
      <c r="Y12" s="51"/>
      <c r="Z12" s="51"/>
      <c r="AA12" s="18"/>
      <c r="AB12" s="506"/>
      <c r="AC12" s="24"/>
      <c r="AD12" s="506"/>
      <c r="AE12" s="509"/>
    </row>
    <row r="13" spans="1:31" ht="16.2" customHeight="1">
      <c r="A13" s="51">
        <v>2</v>
      </c>
      <c r="B13" s="488" t="s">
        <v>1421</v>
      </c>
      <c r="C13" s="852" t="s">
        <v>321</v>
      </c>
      <c r="D13" s="853"/>
      <c r="E13" s="853"/>
      <c r="F13" s="854"/>
      <c r="G13" s="51">
        <v>2</v>
      </c>
      <c r="H13" s="488" t="s">
        <v>1424</v>
      </c>
      <c r="I13" s="852" t="s">
        <v>371</v>
      </c>
      <c r="J13" s="853"/>
      <c r="K13" s="853"/>
      <c r="L13" s="854"/>
      <c r="M13" s="51">
        <v>2</v>
      </c>
      <c r="N13" s="488" t="s">
        <v>1426</v>
      </c>
      <c r="O13" s="852" t="s">
        <v>374</v>
      </c>
      <c r="P13" s="853"/>
      <c r="Q13" s="853"/>
      <c r="R13" s="854"/>
      <c r="S13" s="51">
        <v>2</v>
      </c>
      <c r="T13" s="488" t="s">
        <v>1428</v>
      </c>
      <c r="U13" s="852" t="s">
        <v>376</v>
      </c>
      <c r="V13" s="853"/>
      <c r="W13" s="853"/>
      <c r="X13" s="854"/>
      <c r="Y13" s="51">
        <v>2</v>
      </c>
      <c r="Z13" s="488" t="s">
        <v>1431</v>
      </c>
      <c r="AA13" s="852" t="s">
        <v>379</v>
      </c>
      <c r="AB13" s="853"/>
      <c r="AC13" s="853"/>
      <c r="AD13" s="854"/>
      <c r="AE13" s="513"/>
    </row>
    <row r="14" spans="1:31" ht="16.2" customHeight="1">
      <c r="A14" s="51">
        <v>3</v>
      </c>
      <c r="B14" s="51">
        <v>76565</v>
      </c>
      <c r="C14" s="450" t="s">
        <v>871</v>
      </c>
      <c r="D14" s="583">
        <v>150</v>
      </c>
      <c r="E14" s="184"/>
      <c r="F14" s="404"/>
      <c r="G14" s="51">
        <v>3</v>
      </c>
      <c r="H14" s="51">
        <v>76597</v>
      </c>
      <c r="I14" s="491" t="s">
        <v>1360</v>
      </c>
      <c r="J14" s="544">
        <v>150</v>
      </c>
      <c r="K14" s="573"/>
      <c r="L14" s="404"/>
      <c r="M14" s="51">
        <v>3</v>
      </c>
      <c r="N14" s="51">
        <v>76651</v>
      </c>
      <c r="O14" s="448" t="s">
        <v>1170</v>
      </c>
      <c r="P14" s="353">
        <v>150</v>
      </c>
      <c r="Q14" s="519"/>
      <c r="R14" s="404"/>
      <c r="S14" s="51">
        <v>3</v>
      </c>
      <c r="T14" s="51">
        <v>76691</v>
      </c>
      <c r="U14" s="491" t="s">
        <v>1176</v>
      </c>
      <c r="V14" s="582">
        <v>250</v>
      </c>
      <c r="W14" s="511"/>
      <c r="X14" s="404"/>
      <c r="Y14" s="51">
        <v>3</v>
      </c>
      <c r="Z14" s="51">
        <v>76719</v>
      </c>
      <c r="AA14" s="572" t="s">
        <v>338</v>
      </c>
      <c r="AB14" s="143">
        <v>150</v>
      </c>
      <c r="AC14" s="184"/>
      <c r="AD14" s="404"/>
      <c r="AE14" s="516"/>
    </row>
    <row r="15" spans="1:31" ht="16.2" customHeight="1">
      <c r="A15" s="51">
        <v>3</v>
      </c>
      <c r="B15" s="51">
        <v>76567</v>
      </c>
      <c r="C15" s="491" t="s">
        <v>872</v>
      </c>
      <c r="D15" s="143">
        <v>250</v>
      </c>
      <c r="E15" s="131"/>
      <c r="F15" s="405"/>
      <c r="G15" s="51">
        <v>3</v>
      </c>
      <c r="H15" s="51">
        <v>76599</v>
      </c>
      <c r="I15" s="491" t="s">
        <v>1608</v>
      </c>
      <c r="J15" s="586">
        <v>150</v>
      </c>
      <c r="K15" s="576"/>
      <c r="L15" s="405"/>
      <c r="M15" s="51">
        <v>3</v>
      </c>
      <c r="N15" s="51">
        <v>76653</v>
      </c>
      <c r="O15" s="491" t="s">
        <v>1171</v>
      </c>
      <c r="P15" s="597">
        <v>100</v>
      </c>
      <c r="Q15" s="515"/>
      <c r="R15" s="405"/>
      <c r="S15" s="51">
        <v>3</v>
      </c>
      <c r="T15" s="51">
        <v>76693</v>
      </c>
      <c r="U15" s="491" t="s">
        <v>1498</v>
      </c>
      <c r="V15" s="615">
        <v>400</v>
      </c>
      <c r="W15" s="515"/>
      <c r="X15" s="405"/>
      <c r="Y15" s="51">
        <v>3</v>
      </c>
      <c r="Z15" s="51">
        <v>76721</v>
      </c>
      <c r="AA15" s="450" t="s">
        <v>1120</v>
      </c>
      <c r="AB15" s="143">
        <v>250</v>
      </c>
      <c r="AC15" s="131"/>
      <c r="AD15" s="405"/>
      <c r="AE15" s="516"/>
    </row>
    <row r="16" spans="1:31" ht="16.2" customHeight="1">
      <c r="A16" s="51">
        <v>3</v>
      </c>
      <c r="B16" s="51">
        <v>76571</v>
      </c>
      <c r="C16" s="491" t="s">
        <v>873</v>
      </c>
      <c r="D16" s="353">
        <v>300</v>
      </c>
      <c r="E16" s="131"/>
      <c r="F16" s="405"/>
      <c r="G16" s="51">
        <v>3</v>
      </c>
      <c r="H16" s="51">
        <v>76603</v>
      </c>
      <c r="I16" s="491" t="s">
        <v>1554</v>
      </c>
      <c r="J16" s="544">
        <v>150</v>
      </c>
      <c r="K16" s="515"/>
      <c r="L16" s="405"/>
      <c r="M16" s="51">
        <v>3</v>
      </c>
      <c r="N16" s="51">
        <v>76655</v>
      </c>
      <c r="O16" s="491" t="s">
        <v>1172</v>
      </c>
      <c r="P16" s="544">
        <v>100</v>
      </c>
      <c r="Q16" s="515"/>
      <c r="R16" s="405"/>
      <c r="S16" s="51">
        <v>3</v>
      </c>
      <c r="T16" s="51">
        <v>76695</v>
      </c>
      <c r="U16" s="450" t="s">
        <v>1583</v>
      </c>
      <c r="V16" s="585">
        <v>100</v>
      </c>
      <c r="W16" s="515"/>
      <c r="X16" s="405"/>
      <c r="Y16" s="51">
        <v>3</v>
      </c>
      <c r="Z16" s="51">
        <v>76737</v>
      </c>
      <c r="AA16" s="581" t="s">
        <v>54</v>
      </c>
      <c r="AB16" s="353">
        <v>400</v>
      </c>
      <c r="AC16" s="131"/>
      <c r="AD16" s="405"/>
      <c r="AE16" s="516"/>
    </row>
    <row r="17" spans="1:31" ht="16.2" customHeight="1">
      <c r="A17" s="51">
        <v>3</v>
      </c>
      <c r="B17" s="51">
        <v>76573</v>
      </c>
      <c r="C17" s="491" t="s">
        <v>874</v>
      </c>
      <c r="D17" s="149">
        <v>100</v>
      </c>
      <c r="E17" s="135"/>
      <c r="F17" s="405"/>
      <c r="G17" s="51">
        <v>3</v>
      </c>
      <c r="H17" s="51">
        <v>76607</v>
      </c>
      <c r="I17" s="491" t="s">
        <v>815</v>
      </c>
      <c r="J17" s="656" t="s">
        <v>1566</v>
      </c>
      <c r="K17" s="515"/>
      <c r="L17" s="405"/>
      <c r="M17" s="51">
        <v>3</v>
      </c>
      <c r="N17" s="51">
        <v>76657</v>
      </c>
      <c r="O17" s="491" t="s">
        <v>1173</v>
      </c>
      <c r="P17" s="149">
        <v>200</v>
      </c>
      <c r="Q17" s="515"/>
      <c r="R17" s="405"/>
      <c r="S17" s="51">
        <v>3</v>
      </c>
      <c r="T17" s="51">
        <v>76697</v>
      </c>
      <c r="U17" s="491" t="s">
        <v>50</v>
      </c>
      <c r="V17" s="359">
        <v>100</v>
      </c>
      <c r="W17" s="549"/>
      <c r="X17" s="405"/>
      <c r="Y17" s="51">
        <v>3</v>
      </c>
      <c r="Z17" s="51">
        <v>76723</v>
      </c>
      <c r="AA17" s="448" t="s">
        <v>1182</v>
      </c>
      <c r="AB17" s="351">
        <v>350</v>
      </c>
      <c r="AC17" s="131"/>
      <c r="AD17" s="405"/>
      <c r="AE17" s="516"/>
    </row>
    <row r="18" spans="1:31" ht="16.2" customHeight="1">
      <c r="A18" s="51">
        <v>3</v>
      </c>
      <c r="B18" s="51">
        <v>76575</v>
      </c>
      <c r="C18" s="491" t="s">
        <v>876</v>
      </c>
      <c r="D18" s="544">
        <v>200</v>
      </c>
      <c r="E18" s="131"/>
      <c r="F18" s="405"/>
      <c r="G18" s="51">
        <v>3</v>
      </c>
      <c r="H18" s="51">
        <v>76609</v>
      </c>
      <c r="I18" s="442" t="s">
        <v>1643</v>
      </c>
      <c r="J18" s="544">
        <v>150</v>
      </c>
      <c r="K18" s="515"/>
      <c r="L18" s="405"/>
      <c r="M18" s="51">
        <v>3</v>
      </c>
      <c r="N18" s="51">
        <v>76659</v>
      </c>
      <c r="O18" s="491" t="s">
        <v>1174</v>
      </c>
      <c r="P18" s="149">
        <v>250</v>
      </c>
      <c r="Q18" s="519"/>
      <c r="R18" s="405"/>
      <c r="S18" s="51">
        <v>3</v>
      </c>
      <c r="T18" s="51"/>
      <c r="U18" s="491"/>
      <c r="V18" s="615"/>
      <c r="W18" s="515"/>
      <c r="X18" s="405"/>
      <c r="Y18" s="51">
        <v>3</v>
      </c>
      <c r="Z18" s="51">
        <v>76727</v>
      </c>
      <c r="AA18" s="442" t="s">
        <v>1183</v>
      </c>
      <c r="AB18" s="352">
        <v>150</v>
      </c>
      <c r="AC18" s="515"/>
      <c r="AD18" s="405"/>
      <c r="AE18" s="516"/>
    </row>
    <row r="19" spans="1:31" ht="16.2" customHeight="1">
      <c r="A19" s="51">
        <v>3</v>
      </c>
      <c r="B19" s="51">
        <v>76577</v>
      </c>
      <c r="C19" s="491" t="s">
        <v>877</v>
      </c>
      <c r="D19" s="149">
        <v>50</v>
      </c>
      <c r="E19" s="515"/>
      <c r="F19" s="405"/>
      <c r="G19" s="51">
        <v>3</v>
      </c>
      <c r="H19" s="51"/>
      <c r="I19" s="612"/>
      <c r="J19" s="585"/>
      <c r="K19" s="549"/>
      <c r="L19" s="773"/>
      <c r="M19" s="51">
        <v>3</v>
      </c>
      <c r="N19" s="51">
        <v>76661</v>
      </c>
      <c r="O19" s="457" t="s">
        <v>1175</v>
      </c>
      <c r="P19" s="359">
        <v>150</v>
      </c>
      <c r="Q19" s="519"/>
      <c r="R19" s="405"/>
      <c r="S19" s="51">
        <v>3</v>
      </c>
      <c r="T19" s="51"/>
      <c r="U19" s="491"/>
      <c r="V19" s="359"/>
      <c r="W19" s="616"/>
      <c r="X19" s="405"/>
      <c r="Y19" s="51">
        <v>3</v>
      </c>
      <c r="Z19" s="51"/>
      <c r="AA19" s="442"/>
      <c r="AB19" s="446"/>
      <c r="AC19" s="184"/>
      <c r="AD19" s="157"/>
      <c r="AE19" s="516"/>
    </row>
    <row r="20" spans="1:31" ht="16.2" customHeight="1" thickBot="1">
      <c r="A20" s="51">
        <v>3</v>
      </c>
      <c r="B20" s="51">
        <v>76579</v>
      </c>
      <c r="C20" s="491" t="s">
        <v>1260</v>
      </c>
      <c r="D20" s="143">
        <v>100</v>
      </c>
      <c r="E20" s="131"/>
      <c r="F20" s="405"/>
      <c r="G20" s="51">
        <v>3</v>
      </c>
      <c r="H20" s="51"/>
      <c r="I20" s="613"/>
      <c r="J20" s="456"/>
      <c r="K20" s="614"/>
      <c r="L20" s="453"/>
      <c r="M20" s="51">
        <v>3</v>
      </c>
      <c r="N20" s="51">
        <v>76663</v>
      </c>
      <c r="O20" s="491" t="s">
        <v>1328</v>
      </c>
      <c r="P20" s="544">
        <v>150</v>
      </c>
      <c r="Q20" s="515"/>
      <c r="R20" s="405"/>
      <c r="S20" s="51">
        <v>3</v>
      </c>
      <c r="T20" s="51"/>
      <c r="U20" s="554"/>
      <c r="V20" s="563"/>
      <c r="W20" s="519"/>
      <c r="X20" s="263"/>
      <c r="Y20" s="51">
        <v>3</v>
      </c>
      <c r="Z20" s="51"/>
      <c r="AA20" s="618"/>
      <c r="AB20" s="226"/>
      <c r="AC20" s="184"/>
      <c r="AD20" s="157"/>
      <c r="AE20" s="516"/>
    </row>
    <row r="21" spans="1:31" ht="16.2" customHeight="1" thickTop="1" thickBot="1">
      <c r="A21" s="51">
        <v>3</v>
      </c>
      <c r="B21" s="51"/>
      <c r="C21" s="491"/>
      <c r="D21" s="143"/>
      <c r="E21" s="131"/>
      <c r="F21" s="405"/>
      <c r="G21" s="51">
        <v>4</v>
      </c>
      <c r="H21" s="51"/>
      <c r="I21" s="595" t="s">
        <v>371</v>
      </c>
      <c r="J21" s="301">
        <f>SUM(J14:J20)</f>
        <v>600</v>
      </c>
      <c r="K21" s="564"/>
      <c r="L21" s="308">
        <f>SUM(L14:L20)</f>
        <v>0</v>
      </c>
      <c r="M21" s="51">
        <v>3</v>
      </c>
      <c r="N21" s="51">
        <v>76664</v>
      </c>
      <c r="O21" s="491" t="s">
        <v>1551</v>
      </c>
      <c r="P21" s="353">
        <v>300</v>
      </c>
      <c r="Q21" s="515"/>
      <c r="R21" s="405"/>
      <c r="S21" s="51">
        <v>3</v>
      </c>
      <c r="T21" s="51"/>
      <c r="U21" s="555"/>
      <c r="V21" s="556"/>
      <c r="W21" s="556"/>
      <c r="X21" s="182"/>
      <c r="Y21" s="51">
        <v>4</v>
      </c>
      <c r="Z21" s="51"/>
      <c r="AA21" s="595" t="s">
        <v>379</v>
      </c>
      <c r="AB21" s="301">
        <f>SUM(AB14:AB20)</f>
        <v>1300</v>
      </c>
      <c r="AC21" s="305"/>
      <c r="AD21" s="308">
        <f>SUM(AD14:AD20)</f>
        <v>0</v>
      </c>
      <c r="AE21" s="516"/>
    </row>
    <row r="22" spans="1:31" ht="16.2" customHeight="1" thickTop="1" thickBot="1">
      <c r="A22" s="51">
        <v>3</v>
      </c>
      <c r="B22" s="51"/>
      <c r="C22" s="491"/>
      <c r="D22" s="544"/>
      <c r="E22" s="131"/>
      <c r="F22" s="405"/>
      <c r="G22" s="51">
        <v>2</v>
      </c>
      <c r="H22" s="488" t="s">
        <v>1425</v>
      </c>
      <c r="I22" s="852" t="s">
        <v>373</v>
      </c>
      <c r="J22" s="853"/>
      <c r="K22" s="853"/>
      <c r="L22" s="854"/>
      <c r="M22" s="51">
        <v>3</v>
      </c>
      <c r="N22" s="51">
        <v>76665</v>
      </c>
      <c r="O22" s="491" t="s">
        <v>900</v>
      </c>
      <c r="P22" s="143">
        <v>200</v>
      </c>
      <c r="Q22" s="543"/>
      <c r="R22" s="405"/>
      <c r="S22" s="51">
        <v>4</v>
      </c>
      <c r="T22" s="51"/>
      <c r="U22" s="551" t="s">
        <v>323</v>
      </c>
      <c r="V22" s="558">
        <f>SUM(V14:V21)</f>
        <v>850</v>
      </c>
      <c r="W22" s="552"/>
      <c r="X22" s="325">
        <f>SUM(X14:X21)</f>
        <v>0</v>
      </c>
      <c r="Y22" s="51">
        <v>2</v>
      </c>
      <c r="Z22" s="488" t="s">
        <v>1432</v>
      </c>
      <c r="AA22" s="852" t="s">
        <v>52</v>
      </c>
      <c r="AB22" s="853"/>
      <c r="AC22" s="853"/>
      <c r="AD22" s="854"/>
      <c r="AE22" s="516"/>
    </row>
    <row r="23" spans="1:31" ht="16.2" customHeight="1" thickTop="1" thickBot="1">
      <c r="A23" s="51">
        <v>3</v>
      </c>
      <c r="B23" s="51"/>
      <c r="C23" s="699"/>
      <c r="D23" s="519"/>
      <c r="E23" s="519"/>
      <c r="F23" s="164"/>
      <c r="G23" s="51">
        <v>3</v>
      </c>
      <c r="H23" s="51">
        <v>76615</v>
      </c>
      <c r="I23" s="457" t="s">
        <v>1306</v>
      </c>
      <c r="J23" s="353">
        <v>450</v>
      </c>
      <c r="K23" s="543"/>
      <c r="L23" s="404"/>
      <c r="M23" s="51">
        <v>3</v>
      </c>
      <c r="N23" s="51">
        <v>76669</v>
      </c>
      <c r="O23" s="450" t="s">
        <v>901</v>
      </c>
      <c r="P23" s="143">
        <v>50</v>
      </c>
      <c r="Q23" s="515"/>
      <c r="R23" s="405"/>
      <c r="S23" s="51">
        <v>2</v>
      </c>
      <c r="T23" s="488" t="s">
        <v>1429</v>
      </c>
      <c r="U23" s="855" t="s">
        <v>377</v>
      </c>
      <c r="V23" s="856"/>
      <c r="W23" s="856"/>
      <c r="X23" s="857"/>
      <c r="Y23" s="51">
        <v>3</v>
      </c>
      <c r="Z23" s="51">
        <v>76729</v>
      </c>
      <c r="AA23" s="450" t="s">
        <v>1585</v>
      </c>
      <c r="AB23" s="583">
        <v>450</v>
      </c>
      <c r="AC23" s="184"/>
      <c r="AD23" s="404"/>
      <c r="AE23" s="516"/>
    </row>
    <row r="24" spans="1:31" ht="16.2" customHeight="1" thickTop="1" thickBot="1">
      <c r="A24" s="51">
        <v>4</v>
      </c>
      <c r="B24" s="51"/>
      <c r="C24" s="551" t="s">
        <v>321</v>
      </c>
      <c r="D24" s="580">
        <f>SUM(D14:D23)</f>
        <v>1150</v>
      </c>
      <c r="E24" s="305"/>
      <c r="F24" s="308">
        <f>SUM(F14:F23)</f>
        <v>0</v>
      </c>
      <c r="G24" s="51">
        <v>3</v>
      </c>
      <c r="H24" s="51">
        <v>76617</v>
      </c>
      <c r="I24" s="491" t="s">
        <v>1281</v>
      </c>
      <c r="J24" s="143">
        <v>200</v>
      </c>
      <c r="K24" s="519"/>
      <c r="L24" s="405"/>
      <c r="M24" s="51">
        <v>3</v>
      </c>
      <c r="N24" s="51">
        <v>76671</v>
      </c>
      <c r="O24" s="450" t="s">
        <v>902</v>
      </c>
      <c r="P24" s="143">
        <v>100</v>
      </c>
      <c r="Q24" s="515"/>
      <c r="R24" s="405"/>
      <c r="S24" s="51">
        <v>3</v>
      </c>
      <c r="T24" s="51">
        <v>76699</v>
      </c>
      <c r="U24" s="491" t="s">
        <v>1177</v>
      </c>
      <c r="V24" s="544">
        <v>200</v>
      </c>
      <c r="W24" s="515"/>
      <c r="X24" s="404"/>
      <c r="Y24" s="51">
        <v>3</v>
      </c>
      <c r="Z24" s="51">
        <v>76733</v>
      </c>
      <c r="AA24" s="491" t="s">
        <v>1584</v>
      </c>
      <c r="AB24" s="143">
        <v>500</v>
      </c>
      <c r="AC24" s="131"/>
      <c r="AD24" s="405"/>
      <c r="AE24" s="516"/>
    </row>
    <row r="25" spans="1:31" ht="16.2" customHeight="1" thickTop="1">
      <c r="A25" s="51">
        <v>2</v>
      </c>
      <c r="B25" s="488" t="s">
        <v>1422</v>
      </c>
      <c r="C25" s="849" t="s">
        <v>369</v>
      </c>
      <c r="D25" s="850"/>
      <c r="E25" s="850"/>
      <c r="F25" s="851"/>
      <c r="G25" s="51">
        <v>3</v>
      </c>
      <c r="H25" s="51">
        <v>76618</v>
      </c>
      <c r="I25" s="545" t="s">
        <v>1472</v>
      </c>
      <c r="J25" s="515">
        <v>200</v>
      </c>
      <c r="K25" s="515"/>
      <c r="L25" s="405"/>
      <c r="M25" s="51">
        <v>3</v>
      </c>
      <c r="N25" s="51">
        <v>76673</v>
      </c>
      <c r="O25" s="491" t="s">
        <v>1349</v>
      </c>
      <c r="P25" s="143">
        <v>200</v>
      </c>
      <c r="Q25" s="515"/>
      <c r="R25" s="405"/>
      <c r="S25" s="51">
        <v>3</v>
      </c>
      <c r="T25" s="51">
        <v>76701</v>
      </c>
      <c r="U25" s="491" t="s">
        <v>1178</v>
      </c>
      <c r="V25" s="351">
        <v>100</v>
      </c>
      <c r="W25" s="131"/>
      <c r="X25" s="405"/>
      <c r="Y25" s="51">
        <v>3</v>
      </c>
      <c r="Z25" s="51"/>
      <c r="AA25" s="491"/>
      <c r="AB25" s="446"/>
      <c r="AC25" s="131"/>
      <c r="AD25" s="405"/>
      <c r="AE25" s="560"/>
    </row>
    <row r="26" spans="1:31" ht="16.2" customHeight="1" thickBot="1">
      <c r="A26" s="51">
        <v>3</v>
      </c>
      <c r="B26" s="51">
        <v>76581</v>
      </c>
      <c r="C26" s="450" t="s">
        <v>878</v>
      </c>
      <c r="D26" s="148">
        <v>350</v>
      </c>
      <c r="E26" s="130"/>
      <c r="F26" s="404"/>
      <c r="G26" s="51">
        <v>3</v>
      </c>
      <c r="H26" s="51">
        <v>76621</v>
      </c>
      <c r="I26" s="491" t="s">
        <v>883</v>
      </c>
      <c r="J26" s="143">
        <v>350</v>
      </c>
      <c r="K26" s="515"/>
      <c r="L26" s="147"/>
      <c r="M26" s="51">
        <v>3</v>
      </c>
      <c r="N26" s="51">
        <v>76675</v>
      </c>
      <c r="O26" s="406" t="s">
        <v>903</v>
      </c>
      <c r="P26" s="353">
        <v>150</v>
      </c>
      <c r="Q26" s="515"/>
      <c r="R26" s="405"/>
      <c r="S26" s="51">
        <v>3</v>
      </c>
      <c r="T26" s="51">
        <v>76703</v>
      </c>
      <c r="U26" s="491" t="s">
        <v>1346</v>
      </c>
      <c r="V26" s="351">
        <v>100</v>
      </c>
      <c r="W26" s="131"/>
      <c r="X26" s="405"/>
      <c r="Y26" s="51">
        <v>3</v>
      </c>
      <c r="Z26" s="51"/>
      <c r="AA26" s="555"/>
      <c r="AB26" s="556"/>
      <c r="AC26" s="556"/>
      <c r="AD26" s="182"/>
      <c r="AE26" s="516"/>
    </row>
    <row r="27" spans="1:31" ht="16.2" customHeight="1" thickTop="1" thickBot="1">
      <c r="A27" s="51">
        <v>3</v>
      </c>
      <c r="B27" s="51">
        <v>76583</v>
      </c>
      <c r="C27" s="450" t="s">
        <v>879</v>
      </c>
      <c r="D27" s="353">
        <v>250</v>
      </c>
      <c r="E27" s="135"/>
      <c r="F27" s="405"/>
      <c r="G27" s="51">
        <v>3</v>
      </c>
      <c r="H27" s="51">
        <v>76623</v>
      </c>
      <c r="I27" s="491" t="s">
        <v>1600</v>
      </c>
      <c r="J27" s="353">
        <v>50</v>
      </c>
      <c r="K27" s="515"/>
      <c r="L27" s="405"/>
      <c r="M27" s="51">
        <v>3</v>
      </c>
      <c r="N27" s="51">
        <v>76677</v>
      </c>
      <c r="O27" s="491" t="s">
        <v>904</v>
      </c>
      <c r="P27" s="544">
        <v>50</v>
      </c>
      <c r="Q27" s="519"/>
      <c r="R27" s="405"/>
      <c r="S27" s="51">
        <v>3</v>
      </c>
      <c r="T27" s="51">
        <v>76705</v>
      </c>
      <c r="U27" s="491" t="s">
        <v>1179</v>
      </c>
      <c r="V27" s="620">
        <v>100</v>
      </c>
      <c r="W27" s="131"/>
      <c r="X27" s="405"/>
      <c r="Y27" s="51">
        <v>4</v>
      </c>
      <c r="Z27" s="51"/>
      <c r="AA27" s="551" t="s">
        <v>52</v>
      </c>
      <c r="AB27" s="621">
        <f>SUM(AB23:AB26)</f>
        <v>950</v>
      </c>
      <c r="AC27" s="305"/>
      <c r="AD27" s="311">
        <f>SUM(AD23:AD26)</f>
        <v>0</v>
      </c>
      <c r="AE27" s="516"/>
    </row>
    <row r="28" spans="1:31" ht="16.2" customHeight="1" thickTop="1">
      <c r="A28" s="51">
        <v>3</v>
      </c>
      <c r="B28" s="51">
        <v>76585</v>
      </c>
      <c r="C28" s="491" t="s">
        <v>880</v>
      </c>
      <c r="D28" s="353">
        <v>250</v>
      </c>
      <c r="E28" s="135"/>
      <c r="F28" s="405"/>
      <c r="G28" s="51">
        <v>3</v>
      </c>
      <c r="H28" s="51">
        <v>76625</v>
      </c>
      <c r="I28" s="491" t="s">
        <v>1086</v>
      </c>
      <c r="J28" s="544">
        <v>500</v>
      </c>
      <c r="K28" s="515"/>
      <c r="L28" s="405"/>
      <c r="M28" s="51">
        <v>3</v>
      </c>
      <c r="N28" s="51">
        <v>76679</v>
      </c>
      <c r="O28" s="450" t="s">
        <v>1524</v>
      </c>
      <c r="P28" s="544">
        <v>50</v>
      </c>
      <c r="Q28" s="515"/>
      <c r="R28" s="405"/>
      <c r="S28" s="51">
        <v>3</v>
      </c>
      <c r="T28" s="51">
        <v>76707</v>
      </c>
      <c r="U28" s="491" t="s">
        <v>828</v>
      </c>
      <c r="V28" s="352">
        <v>100</v>
      </c>
      <c r="W28" s="515"/>
      <c r="X28" s="405"/>
      <c r="Y28" s="51">
        <v>2</v>
      </c>
      <c r="Z28" s="488" t="s">
        <v>1433</v>
      </c>
      <c r="AA28" s="852" t="s">
        <v>217</v>
      </c>
      <c r="AB28" s="853"/>
      <c r="AC28" s="853"/>
      <c r="AD28" s="854"/>
      <c r="AE28" s="516"/>
    </row>
    <row r="29" spans="1:31" ht="16.2" customHeight="1">
      <c r="A29" s="51">
        <v>3</v>
      </c>
      <c r="B29" s="51">
        <v>76587</v>
      </c>
      <c r="C29" s="491" t="s">
        <v>1068</v>
      </c>
      <c r="D29" s="143">
        <v>100</v>
      </c>
      <c r="E29" s="573"/>
      <c r="F29" s="405"/>
      <c r="G29" s="51">
        <v>3</v>
      </c>
      <c r="H29" s="51">
        <v>76629</v>
      </c>
      <c r="I29" s="458" t="s">
        <v>1494</v>
      </c>
      <c r="J29" s="351">
        <v>500</v>
      </c>
      <c r="K29" s="515"/>
      <c r="L29" s="405"/>
      <c r="M29" s="51">
        <v>3</v>
      </c>
      <c r="N29" s="51">
        <v>76680</v>
      </c>
      <c r="O29" s="491" t="s">
        <v>1509</v>
      </c>
      <c r="P29" s="143">
        <v>50</v>
      </c>
      <c r="Q29" s="515"/>
      <c r="R29" s="405"/>
      <c r="S29" s="51">
        <v>3</v>
      </c>
      <c r="T29" s="51">
        <v>76709</v>
      </c>
      <c r="U29" s="491" t="s">
        <v>1180</v>
      </c>
      <c r="V29" s="143">
        <v>100</v>
      </c>
      <c r="W29" s="261"/>
      <c r="X29" s="405"/>
      <c r="Y29" s="51">
        <v>3</v>
      </c>
      <c r="Z29" s="51">
        <v>76735</v>
      </c>
      <c r="AA29" s="450" t="s">
        <v>53</v>
      </c>
      <c r="AB29" s="542">
        <v>100</v>
      </c>
      <c r="AC29" s="261"/>
      <c r="AD29" s="404"/>
      <c r="AE29" s="516"/>
    </row>
    <row r="30" spans="1:31" ht="16.2" customHeight="1" thickBot="1">
      <c r="A30" s="51">
        <v>3</v>
      </c>
      <c r="B30" s="51"/>
      <c r="C30" s="554"/>
      <c r="D30" s="519"/>
      <c r="E30" s="519"/>
      <c r="F30" s="164"/>
      <c r="G30" s="51">
        <v>3</v>
      </c>
      <c r="H30" s="51">
        <v>76630</v>
      </c>
      <c r="I30" s="491" t="s">
        <v>1602</v>
      </c>
      <c r="J30" s="544">
        <v>100</v>
      </c>
      <c r="K30" s="515"/>
      <c r="L30" s="405"/>
      <c r="M30" s="51">
        <v>3</v>
      </c>
      <c r="N30" s="51"/>
      <c r="O30" s="491"/>
      <c r="P30" s="143"/>
      <c r="Q30" s="515"/>
      <c r="R30" s="405"/>
      <c r="S30" s="51">
        <v>3</v>
      </c>
      <c r="T30" s="51">
        <v>76711</v>
      </c>
      <c r="U30" s="457" t="s">
        <v>216</v>
      </c>
      <c r="V30" s="353">
        <v>100</v>
      </c>
      <c r="W30" s="131"/>
      <c r="X30" s="405"/>
      <c r="Y30" s="51">
        <v>3</v>
      </c>
      <c r="Z30" s="51"/>
      <c r="AA30" s="491"/>
      <c r="AB30" s="353"/>
      <c r="AC30" s="135"/>
      <c r="AD30" s="405"/>
      <c r="AE30" s="516"/>
    </row>
    <row r="31" spans="1:31" ht="16.2" customHeight="1" thickTop="1" thickBot="1">
      <c r="A31" s="51">
        <v>4</v>
      </c>
      <c r="B31" s="51"/>
      <c r="C31" s="551" t="s">
        <v>369</v>
      </c>
      <c r="D31" s="558">
        <f>SUM(D26:D30)</f>
        <v>950</v>
      </c>
      <c r="E31" s="552"/>
      <c r="F31" s="325">
        <f>SUM(F26:F30)</f>
        <v>0</v>
      </c>
      <c r="G31" s="51">
        <v>3</v>
      </c>
      <c r="H31" s="51">
        <v>76633</v>
      </c>
      <c r="I31" s="491" t="s">
        <v>884</v>
      </c>
      <c r="J31" s="544">
        <v>250</v>
      </c>
      <c r="K31" s="519"/>
      <c r="L31" s="405"/>
      <c r="M31" s="51">
        <v>3</v>
      </c>
      <c r="N31" s="51"/>
      <c r="O31" s="491"/>
      <c r="P31" s="143"/>
      <c r="Q31" s="519"/>
      <c r="R31" s="405"/>
      <c r="S31" s="51">
        <v>3</v>
      </c>
      <c r="T31" s="51"/>
      <c r="U31" s="491"/>
      <c r="V31" s="357"/>
      <c r="W31" s="591"/>
      <c r="X31" s="405"/>
      <c r="Y31" s="51">
        <v>3</v>
      </c>
      <c r="Z31" s="51"/>
      <c r="AA31" s="491"/>
      <c r="AB31" s="353"/>
      <c r="AC31" s="135"/>
      <c r="AD31" s="405"/>
      <c r="AE31" s="516"/>
    </row>
    <row r="32" spans="1:31" ht="16.2" customHeight="1" thickTop="1">
      <c r="A32" s="51">
        <v>2</v>
      </c>
      <c r="B32" s="488" t="s">
        <v>1423</v>
      </c>
      <c r="C32" s="855" t="s">
        <v>322</v>
      </c>
      <c r="D32" s="856"/>
      <c r="E32" s="856"/>
      <c r="F32" s="857"/>
      <c r="G32" s="51">
        <v>3</v>
      </c>
      <c r="H32" s="51">
        <v>76637</v>
      </c>
      <c r="I32" s="491" t="s">
        <v>899</v>
      </c>
      <c r="J32" s="544">
        <v>100</v>
      </c>
      <c r="K32" s="515"/>
      <c r="L32" s="405"/>
      <c r="M32" s="51">
        <v>3</v>
      </c>
      <c r="N32" s="51"/>
      <c r="O32" s="457"/>
      <c r="P32" s="353"/>
      <c r="Q32" s="519"/>
      <c r="R32" s="455"/>
      <c r="S32" s="51">
        <v>3</v>
      </c>
      <c r="T32" s="51"/>
      <c r="U32" s="491"/>
      <c r="V32" s="357"/>
      <c r="W32" s="515"/>
      <c r="X32" s="405"/>
      <c r="Y32" s="51">
        <v>3</v>
      </c>
      <c r="Z32" s="51"/>
      <c r="AA32" s="491"/>
      <c r="AB32" s="353"/>
      <c r="AC32" s="135"/>
      <c r="AD32" s="405"/>
      <c r="AE32" s="516"/>
    </row>
    <row r="33" spans="1:31" ht="16.2" customHeight="1" thickBot="1">
      <c r="A33" s="51">
        <v>3</v>
      </c>
      <c r="B33" s="51">
        <v>76589</v>
      </c>
      <c r="C33" s="619" t="s">
        <v>1376</v>
      </c>
      <c r="D33" s="583">
        <v>50</v>
      </c>
      <c r="E33" s="588"/>
      <c r="F33" s="404"/>
      <c r="G33" s="51">
        <v>3</v>
      </c>
      <c r="H33" s="51">
        <v>76639</v>
      </c>
      <c r="I33" s="491" t="s">
        <v>1307</v>
      </c>
      <c r="J33" s="544">
        <v>150</v>
      </c>
      <c r="K33" s="515"/>
      <c r="L33" s="405"/>
      <c r="M33" s="51">
        <v>3</v>
      </c>
      <c r="N33" s="51"/>
      <c r="O33" s="555"/>
      <c r="P33" s="556"/>
      <c r="Q33" s="556"/>
      <c r="R33" s="182"/>
      <c r="S33" s="51">
        <v>3</v>
      </c>
      <c r="T33" s="51"/>
      <c r="U33" s="555"/>
      <c r="V33" s="556"/>
      <c r="W33" s="556"/>
      <c r="X33" s="182"/>
      <c r="Y33" s="51">
        <v>3</v>
      </c>
      <c r="Z33" s="51"/>
      <c r="AA33" s="491"/>
      <c r="AB33" s="353"/>
      <c r="AC33" s="135"/>
      <c r="AD33" s="405"/>
      <c r="AE33" s="516"/>
    </row>
    <row r="34" spans="1:31" ht="16.2" customHeight="1" thickTop="1" thickBot="1">
      <c r="A34" s="51">
        <v>3</v>
      </c>
      <c r="B34" s="51">
        <v>76593</v>
      </c>
      <c r="C34" s="457" t="s">
        <v>881</v>
      </c>
      <c r="D34" s="353">
        <v>150</v>
      </c>
      <c r="E34" s="515"/>
      <c r="F34" s="405"/>
      <c r="G34" s="51">
        <v>3</v>
      </c>
      <c r="H34" s="51">
        <v>76641</v>
      </c>
      <c r="I34" s="491" t="s">
        <v>1279</v>
      </c>
      <c r="J34" s="544">
        <v>200</v>
      </c>
      <c r="K34" s="515"/>
      <c r="L34" s="405"/>
      <c r="M34" s="51">
        <v>4</v>
      </c>
      <c r="N34" s="51"/>
      <c r="O34" s="551" t="s">
        <v>374</v>
      </c>
      <c r="P34" s="301">
        <f>SUM(P14:P33)</f>
        <v>2250</v>
      </c>
      <c r="Q34" s="305"/>
      <c r="R34" s="308">
        <f>SUM(R14:R33)</f>
        <v>0</v>
      </c>
      <c r="S34" s="51">
        <v>4</v>
      </c>
      <c r="T34" s="51"/>
      <c r="U34" s="551" t="s">
        <v>377</v>
      </c>
      <c r="V34" s="301">
        <f>SUM(V24:V33)</f>
        <v>800</v>
      </c>
      <c r="W34" s="589"/>
      <c r="X34" s="308">
        <f>SUM(X24:X33)</f>
        <v>0</v>
      </c>
      <c r="Y34" s="51">
        <v>3</v>
      </c>
      <c r="Z34" s="51"/>
      <c r="AA34" s="491"/>
      <c r="AB34" s="353"/>
      <c r="AC34" s="135"/>
      <c r="AD34" s="405"/>
      <c r="AE34" s="516"/>
    </row>
    <row r="35" spans="1:31" ht="16.2" customHeight="1" thickTop="1">
      <c r="A35" s="51">
        <v>3</v>
      </c>
      <c r="B35" s="51">
        <v>76595</v>
      </c>
      <c r="C35" s="622" t="s">
        <v>1383</v>
      </c>
      <c r="D35" s="586">
        <v>150</v>
      </c>
      <c r="E35" s="549"/>
      <c r="F35" s="455"/>
      <c r="G35" s="51">
        <v>3</v>
      </c>
      <c r="H35" s="51">
        <v>76645</v>
      </c>
      <c r="I35" s="545" t="s">
        <v>1515</v>
      </c>
      <c r="J35" s="515">
        <v>200</v>
      </c>
      <c r="K35" s="515"/>
      <c r="L35" s="405"/>
      <c r="M35" s="51">
        <v>2</v>
      </c>
      <c r="N35" s="488" t="s">
        <v>1427</v>
      </c>
      <c r="O35" s="855" t="s">
        <v>502</v>
      </c>
      <c r="P35" s="856"/>
      <c r="Q35" s="856"/>
      <c r="R35" s="857"/>
      <c r="S35" s="51">
        <v>2</v>
      </c>
      <c r="T35" s="488" t="s">
        <v>1430</v>
      </c>
      <c r="U35" s="855" t="s">
        <v>324</v>
      </c>
      <c r="V35" s="856"/>
      <c r="W35" s="856"/>
      <c r="X35" s="857"/>
      <c r="Y35" s="51">
        <v>3</v>
      </c>
      <c r="Z35" s="51"/>
      <c r="AA35" s="491"/>
      <c r="AB35" s="353"/>
      <c r="AC35" s="135"/>
      <c r="AD35" s="405"/>
      <c r="AE35" s="516"/>
    </row>
    <row r="36" spans="1:31" ht="16.2" customHeight="1">
      <c r="A36" s="51">
        <v>3</v>
      </c>
      <c r="B36" s="488"/>
      <c r="C36" s="733"/>
      <c r="D36" s="544"/>
      <c r="E36" s="544"/>
      <c r="F36" s="5"/>
      <c r="G36" s="51">
        <v>3</v>
      </c>
      <c r="H36" s="51"/>
      <c r="I36" s="545"/>
      <c r="J36" s="515"/>
      <c r="K36" s="515"/>
      <c r="L36" s="405"/>
      <c r="M36" s="51">
        <v>3</v>
      </c>
      <c r="N36" s="51">
        <v>76683</v>
      </c>
      <c r="O36" s="491" t="s">
        <v>503</v>
      </c>
      <c r="P36" s="623">
        <v>150</v>
      </c>
      <c r="Q36" s="543"/>
      <c r="R36" s="404"/>
      <c r="S36" s="51">
        <v>3</v>
      </c>
      <c r="T36" s="51">
        <v>76713</v>
      </c>
      <c r="U36" s="491" t="s">
        <v>1181</v>
      </c>
      <c r="V36" s="143">
        <v>450</v>
      </c>
      <c r="W36" s="596"/>
      <c r="X36" s="404"/>
      <c r="Y36" s="51">
        <v>3</v>
      </c>
      <c r="Z36" s="51"/>
      <c r="AA36" s="491"/>
      <c r="AB36" s="353"/>
      <c r="AC36" s="135"/>
      <c r="AD36" s="405"/>
      <c r="AE36" s="516"/>
    </row>
    <row r="37" spans="1:31" ht="16.2" customHeight="1">
      <c r="A37" s="51">
        <v>3</v>
      </c>
      <c r="B37" s="51"/>
      <c r="C37" s="450"/>
      <c r="D37" s="623"/>
      <c r="E37" s="774"/>
      <c r="F37" s="396"/>
      <c r="G37" s="51">
        <v>3</v>
      </c>
      <c r="H37" s="51"/>
      <c r="I37" s="619"/>
      <c r="J37" s="353"/>
      <c r="K37" s="515"/>
      <c r="L37" s="405"/>
      <c r="M37" s="51">
        <v>3</v>
      </c>
      <c r="N37" s="51">
        <v>76685</v>
      </c>
      <c r="O37" s="491" t="s">
        <v>504</v>
      </c>
      <c r="P37" s="544">
        <v>350</v>
      </c>
      <c r="Q37" s="515"/>
      <c r="R37" s="405"/>
      <c r="S37" s="51">
        <v>3</v>
      </c>
      <c r="T37" s="51">
        <v>76715</v>
      </c>
      <c r="U37" s="491" t="s">
        <v>51</v>
      </c>
      <c r="V37" s="143">
        <v>150</v>
      </c>
      <c r="W37" s="596"/>
      <c r="X37" s="405"/>
      <c r="Y37" s="51">
        <v>3</v>
      </c>
      <c r="Z37" s="51"/>
      <c r="AA37" s="545"/>
      <c r="AB37" s="139"/>
      <c r="AC37" s="135"/>
      <c r="AD37" s="241"/>
      <c r="AE37" s="516"/>
    </row>
    <row r="38" spans="1:31" ht="16.2" customHeight="1">
      <c r="A38" s="51">
        <v>3</v>
      </c>
      <c r="B38" s="51"/>
      <c r="C38" s="491"/>
      <c r="D38" s="586"/>
      <c r="E38" s="576"/>
      <c r="F38" s="405"/>
      <c r="G38" s="51">
        <v>3</v>
      </c>
      <c r="H38" s="51"/>
      <c r="I38" s="491"/>
      <c r="J38" s="544"/>
      <c r="K38" s="515"/>
      <c r="L38" s="405"/>
      <c r="M38" s="51">
        <v>3</v>
      </c>
      <c r="N38" s="51">
        <v>76689</v>
      </c>
      <c r="O38" s="450" t="s">
        <v>1519</v>
      </c>
      <c r="P38" s="352">
        <v>150</v>
      </c>
      <c r="Q38" s="515"/>
      <c r="R38" s="405"/>
      <c r="S38" s="51">
        <v>3</v>
      </c>
      <c r="T38" s="51"/>
      <c r="U38" s="450"/>
      <c r="V38" s="585"/>
      <c r="W38" s="515"/>
      <c r="X38" s="405"/>
      <c r="Y38" s="51">
        <v>3</v>
      </c>
      <c r="Z38" s="51"/>
      <c r="AA38" s="545"/>
      <c r="AB38" s="139"/>
      <c r="AC38" s="131"/>
      <c r="AD38" s="132"/>
      <c r="AE38" s="516"/>
    </row>
    <row r="39" spans="1:31" ht="16.2" customHeight="1" thickBot="1">
      <c r="A39" s="51">
        <v>3</v>
      </c>
      <c r="B39" s="51"/>
      <c r="C39" s="491"/>
      <c r="D39" s="496"/>
      <c r="E39" s="616"/>
      <c r="F39" s="405"/>
      <c r="G39" s="51">
        <v>3</v>
      </c>
      <c r="H39" s="51"/>
      <c r="I39" s="619"/>
      <c r="J39" s="353"/>
      <c r="K39" s="515"/>
      <c r="L39" s="405"/>
      <c r="M39" s="51">
        <v>3</v>
      </c>
      <c r="N39" s="51"/>
      <c r="O39" s="450"/>
      <c r="P39" s="352"/>
      <c r="Q39" s="131"/>
      <c r="R39" s="405"/>
      <c r="S39" s="51">
        <v>3</v>
      </c>
      <c r="T39" s="51"/>
      <c r="U39" s="491"/>
      <c r="V39" s="359"/>
      <c r="W39" s="549"/>
      <c r="X39" s="405"/>
      <c r="Y39" s="51">
        <v>3</v>
      </c>
      <c r="Z39" s="51"/>
      <c r="AA39" s="555"/>
      <c r="AB39" s="556"/>
      <c r="AC39" s="556"/>
      <c r="AD39" s="182"/>
      <c r="AE39" s="560"/>
    </row>
    <row r="40" spans="1:31" ht="16.2" customHeight="1" thickTop="1" thickBot="1">
      <c r="A40" s="51">
        <v>3</v>
      </c>
      <c r="B40" s="51"/>
      <c r="C40" s="457"/>
      <c r="D40" s="586"/>
      <c r="E40" s="586"/>
      <c r="F40" s="455"/>
      <c r="G40" s="51">
        <v>3</v>
      </c>
      <c r="H40" s="51"/>
      <c r="I40" s="554"/>
      <c r="J40" s="519"/>
      <c r="K40" s="519"/>
      <c r="L40" s="263"/>
      <c r="M40" s="51">
        <v>3</v>
      </c>
      <c r="N40" s="51"/>
      <c r="O40" s="450"/>
      <c r="P40" s="352"/>
      <c r="Q40" s="131"/>
      <c r="R40" s="405"/>
      <c r="S40" s="51">
        <v>3</v>
      </c>
      <c r="T40" s="51"/>
      <c r="U40" s="491"/>
      <c r="V40" s="359"/>
      <c r="W40" s="515"/>
      <c r="X40" s="405"/>
      <c r="Y40" s="51">
        <v>4</v>
      </c>
      <c r="Z40" s="51"/>
      <c r="AA40" s="551" t="s">
        <v>217</v>
      </c>
      <c r="AB40" s="558">
        <f>SUM(AB29:AB39)</f>
        <v>100</v>
      </c>
      <c r="AC40" s="305"/>
      <c r="AD40" s="308">
        <f>SUM(AD29:AD39)</f>
        <v>0</v>
      </c>
      <c r="AE40" s="560"/>
    </row>
    <row r="41" spans="1:31" ht="16.2" customHeight="1" thickTop="1" thickBot="1">
      <c r="A41" s="51">
        <v>4</v>
      </c>
      <c r="B41" s="51"/>
      <c r="C41" s="551" t="s">
        <v>322</v>
      </c>
      <c r="D41" s="301">
        <f>SUM(D33:D40)</f>
        <v>350</v>
      </c>
      <c r="E41" s="552"/>
      <c r="F41" s="467">
        <f>SUM(F33:F40)</f>
        <v>0</v>
      </c>
      <c r="G41" s="51">
        <v>4</v>
      </c>
      <c r="H41" s="51"/>
      <c r="I41" s="551" t="s">
        <v>373</v>
      </c>
      <c r="J41" s="307">
        <f>SUM(J23:J40)</f>
        <v>3250</v>
      </c>
      <c r="K41" s="579"/>
      <c r="L41" s="311">
        <f>SUM(L23:L40)</f>
        <v>0</v>
      </c>
      <c r="M41" s="51">
        <v>4</v>
      </c>
      <c r="N41" s="51"/>
      <c r="O41" s="551" t="s">
        <v>502</v>
      </c>
      <c r="P41" s="301">
        <f>SUM(P36:P40)</f>
        <v>650</v>
      </c>
      <c r="Q41" s="305"/>
      <c r="R41" s="308">
        <f>SUM(R36:R40)</f>
        <v>0</v>
      </c>
      <c r="S41" s="51">
        <v>4</v>
      </c>
      <c r="T41" s="51"/>
      <c r="U41" s="551" t="s">
        <v>324</v>
      </c>
      <c r="V41" s="301">
        <f>SUM(V36:V40)</f>
        <v>600</v>
      </c>
      <c r="W41" s="589"/>
      <c r="X41" s="308">
        <f>SUM(X36:X40)</f>
        <v>0</v>
      </c>
      <c r="Y41" s="51">
        <v>9</v>
      </c>
      <c r="Z41" s="51"/>
      <c r="AA41" s="626"/>
      <c r="AB41" s="627"/>
      <c r="AC41" s="627"/>
      <c r="AD41" s="628"/>
      <c r="AE41" s="560"/>
    </row>
    <row r="42" spans="1:31" ht="16.2" customHeight="1" thickTop="1">
      <c r="A42" s="51">
        <v>9</v>
      </c>
      <c r="B42" s="51"/>
      <c r="C42" s="629"/>
      <c r="D42" s="29"/>
      <c r="E42" s="526"/>
      <c r="F42" s="306"/>
      <c r="G42" s="51">
        <v>9</v>
      </c>
      <c r="H42" s="51"/>
      <c r="I42" s="489"/>
      <c r="J42" s="489"/>
      <c r="K42" s="489"/>
      <c r="L42" s="489"/>
      <c r="M42" s="51">
        <v>9</v>
      </c>
      <c r="N42" s="51"/>
      <c r="O42" s="489"/>
      <c r="P42" s="489"/>
      <c r="Q42" s="489"/>
      <c r="R42" s="489"/>
      <c r="S42" s="51">
        <v>9</v>
      </c>
      <c r="T42" s="51"/>
      <c r="U42" s="224"/>
      <c r="V42" s="609"/>
      <c r="W42" s="489"/>
      <c r="X42" s="489"/>
      <c r="Y42" s="51"/>
      <c r="Z42" s="51"/>
      <c r="AA42" s="234"/>
      <c r="AB42" s="609"/>
      <c r="AC42" s="489"/>
      <c r="AD42" s="610" t="s">
        <v>1129</v>
      </c>
      <c r="AE42" s="630">
        <f>D24+D31+D41+J21+J41+P34+P41+V22+V34+V41+AB21+AB27+AB40</f>
        <v>13800</v>
      </c>
    </row>
    <row r="43" spans="1:31" ht="16.2" customHeight="1">
      <c r="C43" s="506"/>
      <c r="D43" s="150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224"/>
      <c r="V43" s="489"/>
      <c r="W43" s="489"/>
      <c r="X43" s="489"/>
      <c r="Y43" s="489"/>
      <c r="Z43" s="489"/>
      <c r="AA43" s="224"/>
      <c r="AB43" s="489"/>
      <c r="AC43" s="489"/>
      <c r="AD43" s="527" t="s">
        <v>1130</v>
      </c>
      <c r="AE43" s="93">
        <f>F24+F31+F41+L21+L41+R34+R41+X22+X34+X41+AD21+AD27+AD40</f>
        <v>0</v>
      </c>
    </row>
    <row r="44" spans="1:31" ht="16.2" customHeight="1">
      <c r="C44" s="506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506"/>
      <c r="P44" s="21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</row>
    <row r="45" spans="1:31" ht="16.2" customHeight="1"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571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</row>
    <row r="46" spans="1:31" ht="16.2" customHeight="1"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</row>
    <row r="47" spans="1:31" ht="16.2" customHeight="1"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1:31" ht="16.2" customHeight="1"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571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3:31" ht="16.2" customHeight="1"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571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3:31" ht="16.2" customHeight="1"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571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3:31" ht="16.2" customHeight="1"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571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3:31" ht="16.2" customHeight="1"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571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3:31" ht="16.2" customHeight="1"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571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3:31" ht="16.2" customHeight="1"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571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</row>
    <row r="55" spans="3:31" ht="16.2" customHeight="1"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571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3:31" ht="16.2" customHeight="1"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571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</row>
    <row r="57" spans="3:31" ht="16.2" customHeight="1"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571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</row>
    <row r="58" spans="3:31" ht="16.2" customHeight="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571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</row>
    <row r="59" spans="3:31" ht="16.2" customHeight="1"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571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</row>
    <row r="60" spans="3:31" ht="16.2" customHeight="1"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571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</row>
    <row r="61" spans="3:31" ht="16.2" customHeight="1"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571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</row>
    <row r="62" spans="3:31" ht="16.2" customHeight="1"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571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</row>
    <row r="63" spans="3:31" ht="16.2" customHeight="1"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571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</row>
    <row r="64" spans="3:31" ht="16.2" customHeight="1"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571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</row>
    <row r="65" spans="3:31" ht="16.2" customHeight="1"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571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</row>
    <row r="66" spans="3:31" ht="16.2" customHeight="1"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571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</row>
    <row r="67" spans="3:31" ht="16.2" customHeight="1"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571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</row>
    <row r="68" spans="3:31" ht="16.2" customHeight="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571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</row>
    <row r="69" spans="3:31" ht="16.2" customHeight="1"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571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</row>
    <row r="70" spans="3:31" ht="16.2" customHeight="1"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571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</row>
    <row r="71" spans="3:31" ht="16.2" customHeight="1"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571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</row>
    <row r="72" spans="3:31" ht="16.2" customHeight="1"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571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3:31" ht="16.2" customHeight="1"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571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</row>
    <row r="74" spans="3:31" ht="16.2" customHeight="1"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571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</row>
    <row r="75" spans="3:31" ht="16.2" customHeight="1"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571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</row>
    <row r="76" spans="3:31" ht="16.2" customHeight="1"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</row>
    <row r="77" spans="3:31" ht="16.2" customHeight="1"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</row>
    <row r="78" spans="3:31" ht="16.2" customHeight="1"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</row>
    <row r="79" spans="3:31" ht="16.2" customHeight="1"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</row>
    <row r="80" spans="3:31" ht="16.2" customHeight="1"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</row>
    <row r="81" spans="3:31" ht="16.2" customHeight="1"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</row>
    <row r="82" spans="3:31" ht="16.2" customHeight="1"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</row>
    <row r="83" spans="3:31" ht="16.2" customHeight="1"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</row>
    <row r="84" spans="3:31" ht="16.2" customHeight="1"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89"/>
    </row>
    <row r="85" spans="3:31" ht="16.2" customHeight="1"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</row>
    <row r="86" spans="3:31" ht="16.2" customHeight="1"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  <c r="V86" s="489"/>
      <c r="W86" s="489"/>
      <c r="X86" s="489"/>
      <c r="Y86" s="489"/>
      <c r="Z86" s="489"/>
      <c r="AA86" s="489"/>
      <c r="AB86" s="489"/>
      <c r="AC86" s="489"/>
      <c r="AD86" s="489"/>
      <c r="AE86" s="489"/>
    </row>
    <row r="87" spans="3:31" ht="16.2" customHeight="1">
      <c r="C87" s="489"/>
      <c r="D87" s="489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</row>
    <row r="88" spans="3:31" ht="16.2" customHeight="1"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</row>
    <row r="89" spans="3:31" ht="16.2" customHeight="1"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</row>
    <row r="90" spans="3:31" ht="16.2" customHeight="1"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89"/>
    </row>
    <row r="91" spans="3:31" ht="16.2" customHeight="1"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</row>
    <row r="92" spans="3:31" ht="16.2" customHeight="1"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489"/>
      <c r="AD92" s="489"/>
      <c r="AE92" s="489"/>
    </row>
    <row r="93" spans="3:31" ht="16.2" customHeight="1"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89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89"/>
      <c r="AC93" s="489"/>
      <c r="AD93" s="489"/>
      <c r="AE93" s="489"/>
    </row>
    <row r="94" spans="3:31" ht="16.2" customHeight="1"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89"/>
      <c r="O94" s="489"/>
      <c r="P94" s="489"/>
      <c r="Q94" s="489"/>
      <c r="R94" s="489"/>
      <c r="S94" s="489"/>
      <c r="T94" s="489"/>
      <c r="U94" s="489"/>
      <c r="V94" s="489"/>
      <c r="W94" s="489"/>
      <c r="X94" s="489"/>
      <c r="Y94" s="489"/>
      <c r="Z94" s="489"/>
      <c r="AA94" s="489"/>
      <c r="AB94" s="489"/>
      <c r="AC94" s="489"/>
      <c r="AD94" s="489"/>
      <c r="AE94" s="489"/>
    </row>
    <row r="95" spans="3:31" ht="16.2" customHeight="1"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</row>
    <row r="96" spans="3:31" ht="16.2" customHeight="1">
      <c r="C96" s="489"/>
      <c r="D96" s="489"/>
      <c r="E96" s="489"/>
      <c r="F96" s="489"/>
      <c r="G96" s="489"/>
      <c r="H96" s="489"/>
      <c r="I96" s="489"/>
      <c r="J96" s="489"/>
      <c r="K96" s="489"/>
      <c r="L96" s="489"/>
      <c r="M96" s="489"/>
      <c r="N96" s="489"/>
      <c r="O96" s="489"/>
      <c r="P96" s="489"/>
      <c r="Q96" s="489"/>
      <c r="R96" s="489"/>
      <c r="S96" s="489"/>
      <c r="T96" s="489"/>
      <c r="U96" s="489"/>
      <c r="V96" s="489"/>
      <c r="W96" s="489"/>
      <c r="X96" s="489"/>
      <c r="Y96" s="489"/>
      <c r="Z96" s="489"/>
      <c r="AA96" s="489"/>
      <c r="AB96" s="489"/>
      <c r="AC96" s="489"/>
      <c r="AD96" s="489"/>
      <c r="AE96" s="489"/>
    </row>
    <row r="97" spans="3:31" ht="16.2" customHeight="1"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V97" s="489"/>
      <c r="W97" s="489"/>
      <c r="X97" s="489"/>
      <c r="Y97" s="489"/>
      <c r="Z97" s="489"/>
      <c r="AA97" s="489"/>
      <c r="AB97" s="489"/>
      <c r="AC97" s="489"/>
      <c r="AD97" s="489"/>
      <c r="AE97" s="489"/>
    </row>
    <row r="98" spans="3:31" ht="16.2" customHeight="1">
      <c r="C98" s="489"/>
      <c r="D98" s="489"/>
      <c r="E98" s="489"/>
      <c r="F98" s="489"/>
      <c r="G98" s="489"/>
      <c r="H98" s="489"/>
      <c r="I98" s="489"/>
      <c r="J98" s="489"/>
      <c r="K98" s="489"/>
      <c r="L98" s="489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</row>
    <row r="99" spans="3:31" ht="16.2" customHeight="1"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</row>
    <row r="100" spans="3:31" ht="16.2" customHeight="1"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89"/>
      <c r="AC100" s="489"/>
      <c r="AD100" s="489"/>
      <c r="AE100" s="489"/>
    </row>
    <row r="101" spans="3:31" ht="16.2" customHeight="1"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89"/>
      <c r="AE101" s="489"/>
    </row>
    <row r="102" spans="3:31" ht="16.2" customHeight="1"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</row>
    <row r="103" spans="3:31" ht="16.2" customHeight="1">
      <c r="C103" s="489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</row>
    <row r="104" spans="3:31" ht="16.2" customHeight="1"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</row>
    <row r="105" spans="3:31" ht="16.2" customHeight="1"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</row>
    <row r="106" spans="3:31" ht="16.2" customHeight="1"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89"/>
      <c r="V106" s="489"/>
      <c r="W106" s="489"/>
      <c r="X106" s="489"/>
      <c r="Y106" s="489"/>
      <c r="Z106" s="489"/>
      <c r="AA106" s="489"/>
      <c r="AB106" s="489"/>
      <c r="AC106" s="489"/>
      <c r="AD106" s="489"/>
      <c r="AE106" s="489"/>
    </row>
    <row r="107" spans="3:31" ht="16.2" customHeight="1"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</row>
    <row r="108" spans="3:31" ht="16.2" customHeight="1"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  <c r="AE108" s="489"/>
    </row>
    <row r="109" spans="3:31" ht="16.2" customHeight="1">
      <c r="C109" s="489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89"/>
      <c r="V109" s="489"/>
      <c r="W109" s="489"/>
      <c r="X109" s="489"/>
      <c r="Y109" s="489"/>
      <c r="Z109" s="489"/>
      <c r="AA109" s="489"/>
      <c r="AB109" s="489"/>
      <c r="AC109" s="489"/>
      <c r="AD109" s="489"/>
      <c r="AE109" s="489"/>
    </row>
    <row r="110" spans="3:31" ht="16.2" customHeight="1"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89"/>
      <c r="V110" s="489"/>
      <c r="W110" s="489"/>
      <c r="X110" s="489"/>
      <c r="Y110" s="489"/>
      <c r="Z110" s="489"/>
      <c r="AA110" s="489"/>
      <c r="AB110" s="489"/>
      <c r="AC110" s="489"/>
      <c r="AD110" s="489"/>
      <c r="AE110" s="489"/>
    </row>
    <row r="111" spans="3:31" ht="16.2" customHeight="1"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</row>
    <row r="112" spans="3:31" ht="16.2" customHeight="1"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89"/>
      <c r="V112" s="489"/>
      <c r="W112" s="489"/>
      <c r="X112" s="489"/>
      <c r="Y112" s="489"/>
      <c r="Z112" s="489"/>
      <c r="AA112" s="489"/>
      <c r="AB112" s="489"/>
      <c r="AC112" s="489"/>
      <c r="AD112" s="489"/>
      <c r="AE112" s="489"/>
    </row>
    <row r="113" spans="3:31" ht="16.2" customHeight="1"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</row>
    <row r="114" spans="3:31" ht="16.2" customHeight="1">
      <c r="C114" s="489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</row>
    <row r="115" spans="3:31" ht="16.2" customHeight="1"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</row>
    <row r="116" spans="3:31" ht="16.2" customHeight="1"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89"/>
      <c r="V116" s="489"/>
      <c r="W116" s="489"/>
      <c r="X116" s="489"/>
      <c r="Y116" s="489"/>
      <c r="Z116" s="489"/>
      <c r="AA116" s="489"/>
      <c r="AB116" s="489"/>
      <c r="AC116" s="489"/>
      <c r="AD116" s="489"/>
      <c r="AE116" s="489"/>
    </row>
    <row r="117" spans="3:31" ht="16.2" customHeight="1"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89"/>
      <c r="V117" s="489"/>
      <c r="W117" s="489"/>
      <c r="X117" s="489"/>
      <c r="Y117" s="489"/>
      <c r="Z117" s="489"/>
      <c r="AA117" s="489"/>
      <c r="AB117" s="489"/>
      <c r="AC117" s="489"/>
      <c r="AD117" s="489"/>
      <c r="AE117" s="489"/>
    </row>
    <row r="118" spans="3:31" ht="16.2" customHeight="1"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89"/>
      <c r="V118" s="489"/>
      <c r="W118" s="489"/>
      <c r="X118" s="489"/>
      <c r="Y118" s="489"/>
      <c r="Z118" s="489"/>
      <c r="AA118" s="489"/>
      <c r="AB118" s="489"/>
      <c r="AC118" s="489"/>
      <c r="AD118" s="489"/>
      <c r="AE118" s="489"/>
    </row>
    <row r="119" spans="3:31" ht="16.2" customHeight="1">
      <c r="C119" s="489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89"/>
      <c r="V119" s="489"/>
      <c r="W119" s="489"/>
      <c r="X119" s="489"/>
      <c r="Y119" s="489"/>
      <c r="Z119" s="489"/>
      <c r="AA119" s="489"/>
      <c r="AB119" s="489"/>
      <c r="AC119" s="489"/>
      <c r="AD119" s="489"/>
      <c r="AE119" s="489"/>
    </row>
    <row r="120" spans="3:31" ht="16.2" customHeight="1"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89"/>
      <c r="Q120" s="489"/>
      <c r="R120" s="489"/>
      <c r="S120" s="489"/>
      <c r="T120" s="489"/>
      <c r="U120" s="489"/>
      <c r="V120" s="489"/>
      <c r="W120" s="489"/>
      <c r="X120" s="489"/>
      <c r="Y120" s="489"/>
      <c r="Z120" s="489"/>
      <c r="AA120" s="489"/>
      <c r="AB120" s="489"/>
      <c r="AC120" s="489"/>
      <c r="AD120" s="489"/>
      <c r="AE120" s="489"/>
    </row>
    <row r="121" spans="3:31" ht="16.2" customHeight="1">
      <c r="C121" s="489"/>
      <c r="D121" s="489"/>
      <c r="E121" s="489"/>
      <c r="F121" s="489"/>
      <c r="G121" s="489"/>
      <c r="H121" s="489"/>
      <c r="I121" s="489"/>
      <c r="J121" s="489"/>
      <c r="K121" s="489"/>
      <c r="L121" s="489"/>
      <c r="M121" s="489"/>
      <c r="N121" s="489"/>
      <c r="O121" s="489"/>
      <c r="P121" s="489"/>
      <c r="Q121" s="489"/>
      <c r="R121" s="489"/>
      <c r="S121" s="489"/>
      <c r="T121" s="489"/>
      <c r="U121" s="489"/>
      <c r="V121" s="489"/>
      <c r="W121" s="489"/>
      <c r="X121" s="489"/>
      <c r="Y121" s="489"/>
      <c r="Z121" s="489"/>
      <c r="AA121" s="489"/>
      <c r="AB121" s="489"/>
      <c r="AC121" s="489"/>
      <c r="AD121" s="489"/>
      <c r="AE121" s="489"/>
    </row>
  </sheetData>
  <sheetProtection formatCells="0"/>
  <mergeCells count="27">
    <mergeCell ref="C32:F32"/>
    <mergeCell ref="C13:F13"/>
    <mergeCell ref="C25:F25"/>
    <mergeCell ref="U35:X35"/>
    <mergeCell ref="O10:R10"/>
    <mergeCell ref="U10:X10"/>
    <mergeCell ref="O13:R13"/>
    <mergeCell ref="U23:X23"/>
    <mergeCell ref="O35:R35"/>
    <mergeCell ref="C2:F3"/>
    <mergeCell ref="AA10:AD10"/>
    <mergeCell ref="W5:X5"/>
    <mergeCell ref="W7:X7"/>
    <mergeCell ref="D5:L6"/>
    <mergeCell ref="D7:L8"/>
    <mergeCell ref="I10:L10"/>
    <mergeCell ref="C10:F10"/>
    <mergeCell ref="P5:V6"/>
    <mergeCell ref="P7:Q8"/>
    <mergeCell ref="AA5:AC6"/>
    <mergeCell ref="AA7:AE8"/>
    <mergeCell ref="AA28:AD28"/>
    <mergeCell ref="AA13:AD13"/>
    <mergeCell ref="U13:X13"/>
    <mergeCell ref="I13:L13"/>
    <mergeCell ref="I22:L22"/>
    <mergeCell ref="AA22:AD22"/>
  </mergeCells>
  <phoneticPr fontId="2"/>
  <conditionalFormatting sqref="F14:F22 F26:F29 R36:R40 X24:X32 L23:L25 AD14:AD18 AD23:AD25 R14:R30 L27:L39 L14:L19 F33:F35 F37:F40 X14:X19 X36:X40 AD29:AD36">
    <cfRule type="cellIs" dxfId="3" priority="1" operator="greaterThan">
      <formula>D14</formula>
    </cfRule>
  </conditionalFormatting>
  <hyperlinks>
    <hyperlink ref="C2:F3" location="提案表紙!A1" display="大阪府折込資料表" xr:uid="{00000000-0004-0000-23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9" orientation="landscape" horizontalDpi="300" verticalDpi="300" r:id="rId1"/>
  <headerFooter alignWithMargins="0">
    <oddFooter xml:space="preserve">&amp;RP-32/34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4">
    <tabColor rgb="FFB6D2F5"/>
    <pageSetUpPr fitToPage="1"/>
  </sheetPr>
  <dimension ref="A1:AE121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7.4414062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4" width="8.6640625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6" width="8.6640625" hidden="1" customWidth="1"/>
    <col min="27" max="27" width="13.33203125" customWidth="1"/>
    <col min="28" max="28" width="6.77734375" customWidth="1"/>
    <col min="29" max="29" width="3.33203125" customWidth="1"/>
    <col min="30" max="30" width="8.77734375" customWidth="1"/>
  </cols>
  <sheetData>
    <row r="1" spans="1:31" ht="13.2" hidden="1">
      <c r="A1" s="338" t="s">
        <v>1369</v>
      </c>
      <c r="B1" s="51" t="s">
        <v>1370</v>
      </c>
      <c r="C1" s="22"/>
      <c r="F1" s="51" t="s">
        <v>301</v>
      </c>
      <c r="G1" s="338" t="s">
        <v>1369</v>
      </c>
      <c r="H1" s="51" t="s">
        <v>1370</v>
      </c>
      <c r="L1" s="51" t="s">
        <v>301</v>
      </c>
      <c r="M1" s="338" t="s">
        <v>1369</v>
      </c>
      <c r="N1" s="51" t="s">
        <v>1370</v>
      </c>
      <c r="O1" s="18"/>
      <c r="R1" s="51" t="s">
        <v>301</v>
      </c>
      <c r="S1" s="338" t="s">
        <v>1369</v>
      </c>
      <c r="T1" s="51" t="s">
        <v>1370</v>
      </c>
      <c r="U1" s="18"/>
      <c r="X1" s="51" t="s">
        <v>301</v>
      </c>
      <c r="Y1" s="338" t="s">
        <v>1369</v>
      </c>
      <c r="Z1" s="51" t="s">
        <v>1370</v>
      </c>
      <c r="AA1" s="18"/>
      <c r="AD1" s="51" t="s">
        <v>301</v>
      </c>
    </row>
    <row r="2" spans="1:31" ht="13.5" customHeight="1">
      <c r="C2" s="835" t="s">
        <v>1340</v>
      </c>
      <c r="D2" s="835"/>
      <c r="E2" s="835"/>
      <c r="F2" s="835"/>
      <c r="G2" s="460"/>
      <c r="H2" s="460"/>
      <c r="S2" s="51"/>
      <c r="W2" s="500"/>
      <c r="X2" s="500" t="s">
        <v>1313</v>
      </c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S3" s="51"/>
      <c r="W3" s="500"/>
      <c r="X3" s="500" t="s">
        <v>1501</v>
      </c>
    </row>
    <row r="4" spans="1:31" ht="13.5" customHeight="1">
      <c r="C4" t="s">
        <v>256</v>
      </c>
      <c r="I4" s="187">
        <v>45631</v>
      </c>
      <c r="J4" s="186" t="s">
        <v>0</v>
      </c>
      <c r="K4" t="s">
        <v>257</v>
      </c>
      <c r="S4" s="51"/>
      <c r="W4" s="500"/>
      <c r="X4" s="500" t="s">
        <v>1500</v>
      </c>
    </row>
    <row r="5" spans="1:31" ht="13.2" customHeight="1">
      <c r="C5" s="7" t="s">
        <v>258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1"/>
      <c r="N5" s="461"/>
      <c r="O5" s="7" t="s">
        <v>233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259</v>
      </c>
      <c r="X5" s="822"/>
      <c r="Y5" s="459"/>
      <c r="Z5" s="459"/>
      <c r="AA5" s="840"/>
      <c r="AB5" s="840"/>
      <c r="AC5" s="841"/>
      <c r="AD5" s="6" t="s">
        <v>260</v>
      </c>
      <c r="AE5" s="6" t="s">
        <v>260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261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61</v>
      </c>
      <c r="P7" s="827">
        <f>提案表紙!G9</f>
        <v>0</v>
      </c>
      <c r="Q7" s="828"/>
      <c r="R7" s="7" t="s">
        <v>262</v>
      </c>
      <c r="U7" s="410">
        <f>AE43</f>
        <v>0</v>
      </c>
      <c r="V7" s="8"/>
      <c r="W7" s="821" t="s">
        <v>263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264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/>
    <row r="10" spans="1:31" ht="16.2" customHeight="1">
      <c r="A10" s="51">
        <v>1</v>
      </c>
      <c r="B10" s="51">
        <v>6</v>
      </c>
      <c r="C10" s="818" t="s">
        <v>997</v>
      </c>
      <c r="D10" s="819"/>
      <c r="E10" s="819"/>
      <c r="F10" s="820"/>
      <c r="G10" s="51">
        <v>1</v>
      </c>
      <c r="H10" s="51">
        <v>6</v>
      </c>
      <c r="I10" s="818" t="s">
        <v>997</v>
      </c>
      <c r="J10" s="819"/>
      <c r="K10" s="819"/>
      <c r="L10" s="820"/>
      <c r="M10" s="51">
        <v>1</v>
      </c>
      <c r="N10" s="51">
        <v>6</v>
      </c>
      <c r="O10" s="818" t="s">
        <v>997</v>
      </c>
      <c r="P10" s="819"/>
      <c r="Q10" s="819"/>
      <c r="R10" s="820"/>
      <c r="S10" s="51">
        <v>1</v>
      </c>
      <c r="T10" s="51">
        <v>6</v>
      </c>
      <c r="U10" s="818" t="s">
        <v>997</v>
      </c>
      <c r="V10" s="819"/>
      <c r="W10" s="819"/>
      <c r="X10" s="820"/>
      <c r="Y10" s="51">
        <v>1</v>
      </c>
      <c r="Z10" s="51">
        <v>6</v>
      </c>
      <c r="AA10" s="818" t="s">
        <v>997</v>
      </c>
      <c r="AB10" s="819"/>
      <c r="AC10" s="819"/>
      <c r="AD10" s="820"/>
      <c r="AE10" s="502" t="s">
        <v>265</v>
      </c>
    </row>
    <row r="11" spans="1:31" ht="16.2" customHeight="1">
      <c r="A11" s="51"/>
      <c r="B11" s="51"/>
      <c r="C11" s="503" t="s">
        <v>266</v>
      </c>
      <c r="D11" s="504" t="s">
        <v>267</v>
      </c>
      <c r="E11" s="319" t="s">
        <v>268</v>
      </c>
      <c r="F11" s="505" t="s">
        <v>236</v>
      </c>
      <c r="G11" s="51"/>
      <c r="H11" s="51"/>
      <c r="I11" s="503" t="s">
        <v>266</v>
      </c>
      <c r="J11" s="504" t="s">
        <v>267</v>
      </c>
      <c r="K11" s="319" t="s">
        <v>268</v>
      </c>
      <c r="L11" s="505" t="s">
        <v>236</v>
      </c>
      <c r="M11" s="51"/>
      <c r="N11" s="51"/>
      <c r="O11" s="503" t="s">
        <v>266</v>
      </c>
      <c r="P11" s="504" t="s">
        <v>267</v>
      </c>
      <c r="Q11" s="319" t="s">
        <v>268</v>
      </c>
      <c r="R11" s="505" t="s">
        <v>236</v>
      </c>
      <c r="S11" s="51"/>
      <c r="T11" s="51"/>
      <c r="U11" s="503" t="s">
        <v>266</v>
      </c>
      <c r="V11" s="504" t="s">
        <v>267</v>
      </c>
      <c r="W11" s="319" t="s">
        <v>268</v>
      </c>
      <c r="X11" s="505" t="s">
        <v>236</v>
      </c>
      <c r="Y11" s="51"/>
      <c r="Z11" s="51"/>
      <c r="AA11" s="503" t="s">
        <v>266</v>
      </c>
      <c r="AB11" s="504" t="s">
        <v>267</v>
      </c>
      <c r="AC11" s="319" t="s">
        <v>268</v>
      </c>
      <c r="AD11" s="505" t="s">
        <v>236</v>
      </c>
      <c r="AE11" s="507" t="s">
        <v>269</v>
      </c>
    </row>
    <row r="12" spans="1:31" ht="16.2" customHeight="1">
      <c r="A12" s="51"/>
      <c r="B12" s="51"/>
      <c r="C12" s="46"/>
      <c r="D12" s="30" ph="1"/>
      <c r="E12" s="24"/>
      <c r="F12" s="506"/>
      <c r="G12" s="51"/>
      <c r="H12" s="51"/>
      <c r="I12" s="508"/>
      <c r="J12" s="509"/>
      <c r="K12" s="23"/>
      <c r="L12" s="509"/>
      <c r="M12" s="51"/>
      <c r="N12" s="51"/>
      <c r="O12" s="18"/>
      <c r="P12" s="506"/>
      <c r="Q12" s="24"/>
      <c r="R12" s="506"/>
      <c r="S12" s="51"/>
      <c r="T12" s="51"/>
      <c r="U12" s="18"/>
      <c r="V12" s="506"/>
      <c r="W12" s="24"/>
      <c r="X12" s="506"/>
      <c r="Y12" s="51"/>
      <c r="Z12" s="51"/>
      <c r="AA12" s="18"/>
      <c r="AB12" s="506"/>
      <c r="AC12" s="24"/>
      <c r="AD12" s="506"/>
      <c r="AE12" s="509"/>
    </row>
    <row r="13" spans="1:31" ht="16.2" customHeight="1">
      <c r="A13" s="51">
        <v>2</v>
      </c>
      <c r="B13" s="488" t="s">
        <v>1434</v>
      </c>
      <c r="C13" s="852" t="s">
        <v>55</v>
      </c>
      <c r="D13" s="853"/>
      <c r="E13" s="853"/>
      <c r="F13" s="854"/>
      <c r="G13" s="51">
        <v>2</v>
      </c>
      <c r="H13" s="488" t="s">
        <v>1437</v>
      </c>
      <c r="I13" s="852" t="s">
        <v>387</v>
      </c>
      <c r="J13" s="863"/>
      <c r="K13" s="863"/>
      <c r="L13" s="864"/>
      <c r="M13" s="51">
        <v>2</v>
      </c>
      <c r="N13" s="488" t="s">
        <v>1439</v>
      </c>
      <c r="O13" s="852" t="s">
        <v>72</v>
      </c>
      <c r="P13" s="853"/>
      <c r="Q13" s="853"/>
      <c r="R13" s="854"/>
      <c r="S13" s="51">
        <v>2</v>
      </c>
      <c r="T13" s="488" t="s">
        <v>1442</v>
      </c>
      <c r="U13" s="852" t="s">
        <v>390</v>
      </c>
      <c r="V13" s="853"/>
      <c r="W13" s="853"/>
      <c r="X13" s="854"/>
      <c r="Y13" s="51">
        <v>2</v>
      </c>
      <c r="Z13" s="488" t="s">
        <v>1446</v>
      </c>
      <c r="AA13" s="852" t="s">
        <v>406</v>
      </c>
      <c r="AB13" s="863"/>
      <c r="AC13" s="863"/>
      <c r="AD13" s="864"/>
      <c r="AE13" s="513"/>
    </row>
    <row r="14" spans="1:31" ht="16.2" customHeight="1">
      <c r="A14" s="51">
        <v>3</v>
      </c>
      <c r="B14" s="51">
        <v>76741</v>
      </c>
      <c r="C14" s="491" t="s">
        <v>1462</v>
      </c>
      <c r="D14" s="544">
        <v>450</v>
      </c>
      <c r="E14" s="131"/>
      <c r="F14" s="404"/>
      <c r="G14" s="51">
        <v>3</v>
      </c>
      <c r="H14" s="51">
        <v>76781</v>
      </c>
      <c r="I14" s="491" t="s">
        <v>66</v>
      </c>
      <c r="J14" s="352">
        <v>250</v>
      </c>
      <c r="K14" s="543"/>
      <c r="L14" s="404"/>
      <c r="M14" s="51">
        <v>3</v>
      </c>
      <c r="N14" s="51">
        <v>76813</v>
      </c>
      <c r="O14" s="750" t="s">
        <v>1323</v>
      </c>
      <c r="P14" s="353">
        <v>50</v>
      </c>
      <c r="Q14" s="519"/>
      <c r="R14" s="404"/>
      <c r="S14" s="51">
        <v>3</v>
      </c>
      <c r="T14" s="51">
        <v>76839</v>
      </c>
      <c r="U14" s="491" t="s">
        <v>1197</v>
      </c>
      <c r="V14" s="148">
        <v>550</v>
      </c>
      <c r="W14" s="511"/>
      <c r="X14" s="404"/>
      <c r="Y14" s="51">
        <v>3</v>
      </c>
      <c r="Z14" s="51">
        <v>76867</v>
      </c>
      <c r="AA14" s="572" t="s">
        <v>805</v>
      </c>
      <c r="AB14" s="143">
        <v>600</v>
      </c>
      <c r="AC14" s="573"/>
      <c r="AD14" s="404"/>
      <c r="AE14" s="516"/>
    </row>
    <row r="15" spans="1:31" ht="16.2" customHeight="1" thickBot="1">
      <c r="A15" s="51">
        <v>3</v>
      </c>
      <c r="B15" s="51">
        <v>76743</v>
      </c>
      <c r="C15" s="491" t="s">
        <v>1184</v>
      </c>
      <c r="D15" s="544">
        <v>100</v>
      </c>
      <c r="E15" s="131"/>
      <c r="F15" s="405"/>
      <c r="G15" s="51">
        <v>3</v>
      </c>
      <c r="H15" s="51">
        <v>76783</v>
      </c>
      <c r="I15" s="491" t="s">
        <v>67</v>
      </c>
      <c r="J15" s="143">
        <v>400</v>
      </c>
      <c r="K15" s="515"/>
      <c r="L15" s="405"/>
      <c r="M15" s="51">
        <v>3</v>
      </c>
      <c r="N15" s="51"/>
      <c r="O15" s="491"/>
      <c r="P15" s="758"/>
      <c r="Q15" s="515"/>
      <c r="R15" s="405"/>
      <c r="S15" s="51">
        <v>3</v>
      </c>
      <c r="T15" s="51"/>
      <c r="U15" s="491"/>
      <c r="V15" s="574"/>
      <c r="W15" s="515"/>
      <c r="X15" s="405"/>
      <c r="Y15" s="51">
        <v>3</v>
      </c>
      <c r="Z15" s="51"/>
      <c r="AA15" s="575"/>
      <c r="AB15" s="208"/>
      <c r="AC15" s="576"/>
      <c r="AD15" s="133"/>
      <c r="AE15" s="516"/>
    </row>
    <row r="16" spans="1:31" ht="16.2" customHeight="1" thickTop="1" thickBot="1">
      <c r="A16" s="51">
        <v>3</v>
      </c>
      <c r="B16" s="51"/>
      <c r="C16" s="491"/>
      <c r="D16" s="544"/>
      <c r="E16" s="131"/>
      <c r="F16" s="405"/>
      <c r="G16" s="51">
        <v>3</v>
      </c>
      <c r="H16" s="51">
        <v>76785</v>
      </c>
      <c r="I16" s="491" t="s">
        <v>1241</v>
      </c>
      <c r="J16" s="143">
        <v>100</v>
      </c>
      <c r="K16" s="515"/>
      <c r="L16" s="405"/>
      <c r="M16" s="51">
        <v>3</v>
      </c>
      <c r="N16" s="51"/>
      <c r="O16" s="491"/>
      <c r="P16" s="544"/>
      <c r="Q16" s="515"/>
      <c r="R16" s="405"/>
      <c r="S16" s="51">
        <v>3</v>
      </c>
      <c r="T16" s="51"/>
      <c r="U16" s="545"/>
      <c r="V16" s="577"/>
      <c r="W16" s="515"/>
      <c r="X16" s="183"/>
      <c r="Y16" s="51">
        <v>4</v>
      </c>
      <c r="Z16" s="51"/>
      <c r="AA16" s="551" t="s">
        <v>406</v>
      </c>
      <c r="AB16" s="578">
        <f>SUM(AB14:AB15)</f>
        <v>600</v>
      </c>
      <c r="AC16" s="579"/>
      <c r="AD16" s="407">
        <f>SUM(AD14:AD15)</f>
        <v>0</v>
      </c>
      <c r="AE16" s="516"/>
    </row>
    <row r="17" spans="1:31" ht="16.2" customHeight="1" thickTop="1" thickBot="1">
      <c r="A17" s="51">
        <v>3</v>
      </c>
      <c r="B17" s="51"/>
      <c r="C17" s="555"/>
      <c r="D17" s="556"/>
      <c r="E17" s="556"/>
      <c r="F17" s="182"/>
      <c r="G17" s="51">
        <v>3</v>
      </c>
      <c r="H17" s="51">
        <v>76787</v>
      </c>
      <c r="I17" s="450" t="s">
        <v>1192</v>
      </c>
      <c r="J17" s="352">
        <v>300</v>
      </c>
      <c r="K17" s="515"/>
      <c r="L17" s="405"/>
      <c r="M17" s="51">
        <v>3</v>
      </c>
      <c r="N17" s="51"/>
      <c r="O17" s="449"/>
      <c r="P17" s="353"/>
      <c r="Q17" s="519"/>
      <c r="R17" s="405"/>
      <c r="S17" s="51">
        <v>3</v>
      </c>
      <c r="T17" s="51"/>
      <c r="U17" s="561"/>
      <c r="V17" s="515"/>
      <c r="W17" s="515"/>
      <c r="X17" s="163"/>
      <c r="Y17" s="51">
        <v>2</v>
      </c>
      <c r="Z17" s="488" t="s">
        <v>1447</v>
      </c>
      <c r="AA17" s="855" t="s">
        <v>806</v>
      </c>
      <c r="AB17" s="858"/>
      <c r="AC17" s="858"/>
      <c r="AD17" s="859"/>
      <c r="AE17" s="516"/>
    </row>
    <row r="18" spans="1:31" ht="16.2" customHeight="1" thickTop="1" thickBot="1">
      <c r="A18" s="51">
        <v>4</v>
      </c>
      <c r="B18" s="51"/>
      <c r="C18" s="551" t="s">
        <v>55</v>
      </c>
      <c r="D18" s="580">
        <f>SUM(D14:D17)</f>
        <v>550</v>
      </c>
      <c r="E18" s="305"/>
      <c r="F18" s="308">
        <f>SUM(F14:F17)</f>
        <v>0</v>
      </c>
      <c r="G18" s="51">
        <v>3</v>
      </c>
      <c r="H18" s="51">
        <v>76789</v>
      </c>
      <c r="I18" s="491" t="s">
        <v>1193</v>
      </c>
      <c r="J18" s="143">
        <v>150</v>
      </c>
      <c r="K18" s="543"/>
      <c r="L18" s="405"/>
      <c r="M18" s="51">
        <v>3</v>
      </c>
      <c r="N18" s="51"/>
      <c r="O18" s="555"/>
      <c r="P18" s="556"/>
      <c r="Q18" s="556"/>
      <c r="R18" s="182"/>
      <c r="S18" s="51">
        <v>4</v>
      </c>
      <c r="T18" s="51"/>
      <c r="U18" s="551" t="s">
        <v>390</v>
      </c>
      <c r="V18" s="558">
        <f>SUM(V14:V17)</f>
        <v>550</v>
      </c>
      <c r="W18" s="552"/>
      <c r="X18" s="324">
        <f>SUM(X14:X17)</f>
        <v>0</v>
      </c>
      <c r="Y18" s="51">
        <v>3</v>
      </c>
      <c r="Z18" s="51">
        <v>76869</v>
      </c>
      <c r="AA18" s="450" t="s">
        <v>807</v>
      </c>
      <c r="AB18" s="620">
        <v>1300</v>
      </c>
      <c r="AC18" s="131"/>
      <c r="AD18" s="404"/>
      <c r="AE18" s="516"/>
    </row>
    <row r="19" spans="1:31" ht="16.2" customHeight="1" thickTop="1" thickBot="1">
      <c r="A19" s="51">
        <v>2</v>
      </c>
      <c r="B19" s="488" t="s">
        <v>1435</v>
      </c>
      <c r="C19" s="855" t="s">
        <v>62</v>
      </c>
      <c r="D19" s="856"/>
      <c r="E19" s="856"/>
      <c r="F19" s="857"/>
      <c r="G19" s="51">
        <v>3</v>
      </c>
      <c r="H19" s="51">
        <v>76793</v>
      </c>
      <c r="I19" s="457" t="s">
        <v>1194</v>
      </c>
      <c r="J19" s="359">
        <v>150</v>
      </c>
      <c r="K19" s="515"/>
      <c r="L19" s="405"/>
      <c r="M19" s="51">
        <v>4</v>
      </c>
      <c r="N19" s="51"/>
      <c r="O19" s="551" t="s">
        <v>72</v>
      </c>
      <c r="P19" s="301">
        <f>SUM(J38:J41,P14:P18)</f>
        <v>1450</v>
      </c>
      <c r="Q19" s="579"/>
      <c r="R19" s="308">
        <f>SUM(L38:L41,R14:R18)</f>
        <v>0</v>
      </c>
      <c r="S19" s="51">
        <v>2</v>
      </c>
      <c r="T19" s="488" t="s">
        <v>1443</v>
      </c>
      <c r="U19" s="849" t="s">
        <v>78</v>
      </c>
      <c r="V19" s="850"/>
      <c r="W19" s="850"/>
      <c r="X19" s="851"/>
      <c r="Y19" s="51">
        <v>3</v>
      </c>
      <c r="Z19" s="51">
        <v>76872</v>
      </c>
      <c r="AA19" s="491" t="s">
        <v>1534</v>
      </c>
      <c r="AB19" s="149">
        <v>100</v>
      </c>
      <c r="AC19" s="184"/>
      <c r="AD19" s="405"/>
      <c r="AE19" s="516"/>
    </row>
    <row r="20" spans="1:31" ht="16.2" customHeight="1" thickTop="1">
      <c r="A20" s="51">
        <v>3</v>
      </c>
      <c r="B20" s="51">
        <v>76751</v>
      </c>
      <c r="C20" s="450" t="s">
        <v>63</v>
      </c>
      <c r="D20" s="148">
        <v>450</v>
      </c>
      <c r="E20" s="130"/>
      <c r="F20" s="404"/>
      <c r="G20" s="51">
        <v>3</v>
      </c>
      <c r="H20" s="51"/>
      <c r="I20" s="491"/>
      <c r="J20" s="496"/>
      <c r="K20" s="519"/>
      <c r="L20" s="405"/>
      <c r="M20" s="51">
        <v>2</v>
      </c>
      <c r="N20" s="488" t="s">
        <v>1440</v>
      </c>
      <c r="O20" s="855" t="s">
        <v>335</v>
      </c>
      <c r="P20" s="856"/>
      <c r="Q20" s="856"/>
      <c r="R20" s="857"/>
      <c r="S20" s="51">
        <v>3</v>
      </c>
      <c r="T20" s="51">
        <v>76841</v>
      </c>
      <c r="U20" s="581" t="s">
        <v>1198</v>
      </c>
      <c r="V20" s="582">
        <v>400</v>
      </c>
      <c r="W20" s="511"/>
      <c r="X20" s="404"/>
      <c r="Y20" s="51">
        <v>3</v>
      </c>
      <c r="Z20" s="51">
        <v>76873</v>
      </c>
      <c r="AA20" s="491" t="s">
        <v>1209</v>
      </c>
      <c r="AB20" s="748">
        <v>100</v>
      </c>
      <c r="AC20" s="135"/>
      <c r="AD20" s="405"/>
      <c r="AE20" s="516"/>
    </row>
    <row r="21" spans="1:31" ht="16.2" customHeight="1">
      <c r="A21" s="51">
        <v>3</v>
      </c>
      <c r="B21" s="51">
        <v>76753</v>
      </c>
      <c r="C21" s="458" t="s">
        <v>1368</v>
      </c>
      <c r="D21" s="353">
        <v>250</v>
      </c>
      <c r="E21" s="135"/>
      <c r="F21" s="405"/>
      <c r="G21" s="51">
        <v>3</v>
      </c>
      <c r="H21" s="51"/>
      <c r="I21" s="554"/>
      <c r="J21" s="563"/>
      <c r="K21" s="519"/>
      <c r="L21" s="263"/>
      <c r="M21" s="51">
        <v>3</v>
      </c>
      <c r="N21" s="51">
        <v>76819</v>
      </c>
      <c r="O21" s="450" t="s">
        <v>1195</v>
      </c>
      <c r="P21" s="584">
        <v>100</v>
      </c>
      <c r="Q21" s="511"/>
      <c r="R21" s="404"/>
      <c r="S21" s="51">
        <v>3</v>
      </c>
      <c r="T21" s="51">
        <v>76843</v>
      </c>
      <c r="U21" s="491" t="s">
        <v>1199</v>
      </c>
      <c r="V21" s="585">
        <v>250</v>
      </c>
      <c r="W21" s="549"/>
      <c r="X21" s="405"/>
      <c r="Y21" s="51">
        <v>3</v>
      </c>
      <c r="Z21" s="51"/>
      <c r="AA21" s="491"/>
      <c r="AB21" s="143"/>
      <c r="AC21" s="131"/>
      <c r="AD21" s="405"/>
      <c r="AE21" s="516"/>
    </row>
    <row r="22" spans="1:31" ht="16.2" customHeight="1" thickBot="1">
      <c r="A22" s="51">
        <v>3</v>
      </c>
      <c r="B22" s="51">
        <v>76757</v>
      </c>
      <c r="C22" s="491" t="s">
        <v>1185</v>
      </c>
      <c r="D22" s="586">
        <v>300</v>
      </c>
      <c r="E22" s="135"/>
      <c r="F22" s="405"/>
      <c r="G22" s="51">
        <v>3</v>
      </c>
      <c r="H22" s="51"/>
      <c r="I22" s="555"/>
      <c r="J22" s="556"/>
      <c r="K22" s="556"/>
      <c r="L22" s="182"/>
      <c r="M22" s="51">
        <v>3</v>
      </c>
      <c r="N22" s="51">
        <v>76821</v>
      </c>
      <c r="O22" s="443" t="s">
        <v>1367</v>
      </c>
      <c r="P22" s="351">
        <v>250</v>
      </c>
      <c r="Q22" s="515"/>
      <c r="R22" s="405"/>
      <c r="S22" s="51">
        <v>3</v>
      </c>
      <c r="T22" s="51">
        <v>76845</v>
      </c>
      <c r="U22" s="491" t="s">
        <v>1200</v>
      </c>
      <c r="V22" s="544">
        <v>150</v>
      </c>
      <c r="W22" s="515"/>
      <c r="X22" s="405"/>
      <c r="Y22" s="51">
        <v>3</v>
      </c>
      <c r="Z22" s="51"/>
      <c r="AA22" s="491"/>
      <c r="AB22" s="143"/>
      <c r="AC22" s="131"/>
      <c r="AD22" s="405"/>
      <c r="AE22" s="516"/>
    </row>
    <row r="23" spans="1:31" ht="16.2" customHeight="1" thickTop="1" thickBot="1">
      <c r="A23" s="51">
        <v>3</v>
      </c>
      <c r="B23" s="51">
        <v>76759</v>
      </c>
      <c r="C23" s="450" t="s">
        <v>1186</v>
      </c>
      <c r="D23" s="544">
        <v>200</v>
      </c>
      <c r="E23" s="573"/>
      <c r="F23" s="405"/>
      <c r="G23" s="51">
        <v>4</v>
      </c>
      <c r="H23" s="51"/>
      <c r="I23" s="551" t="s">
        <v>387</v>
      </c>
      <c r="J23" s="558">
        <f>SUM(J14:J22)</f>
        <v>1350</v>
      </c>
      <c r="K23" s="552"/>
      <c r="L23" s="327">
        <f>SUM(L14:L22)</f>
        <v>0</v>
      </c>
      <c r="M23" s="51">
        <v>3</v>
      </c>
      <c r="N23" s="51">
        <v>76823</v>
      </c>
      <c r="O23" s="406" t="s">
        <v>1513</v>
      </c>
      <c r="P23" s="544">
        <v>200</v>
      </c>
      <c r="Q23" s="515"/>
      <c r="R23" s="405"/>
      <c r="S23" s="51">
        <v>3</v>
      </c>
      <c r="T23" s="51"/>
      <c r="U23" s="545"/>
      <c r="V23" s="543"/>
      <c r="W23" s="543"/>
      <c r="X23" s="260"/>
      <c r="Y23" s="51">
        <v>3</v>
      </c>
      <c r="Z23" s="51"/>
      <c r="AA23" s="491"/>
      <c r="AB23" s="143"/>
      <c r="AC23" s="304"/>
      <c r="AD23" s="405"/>
      <c r="AE23" s="516"/>
    </row>
    <row r="24" spans="1:31" ht="16.2" customHeight="1" thickTop="1" thickBot="1">
      <c r="A24" s="51">
        <v>3</v>
      </c>
      <c r="B24" s="51">
        <v>76761</v>
      </c>
      <c r="C24" s="450" t="s">
        <v>1187</v>
      </c>
      <c r="D24" s="544">
        <v>100</v>
      </c>
      <c r="E24" s="519"/>
      <c r="F24" s="405"/>
      <c r="G24" s="51">
        <v>2</v>
      </c>
      <c r="H24" s="488" t="s">
        <v>1438</v>
      </c>
      <c r="I24" s="855" t="s">
        <v>331</v>
      </c>
      <c r="J24" s="856"/>
      <c r="K24" s="856"/>
      <c r="L24" s="857"/>
      <c r="M24" s="51">
        <v>3</v>
      </c>
      <c r="N24" s="51">
        <v>76825</v>
      </c>
      <c r="O24" s="587" t="s">
        <v>1514</v>
      </c>
      <c r="P24" s="352">
        <v>300</v>
      </c>
      <c r="Q24" s="543"/>
      <c r="R24" s="405"/>
      <c r="S24" s="51">
        <v>3</v>
      </c>
      <c r="T24" s="51"/>
      <c r="U24" s="555"/>
      <c r="V24" s="556"/>
      <c r="W24" s="556"/>
      <c r="X24" s="182"/>
      <c r="Y24" s="51">
        <v>4</v>
      </c>
      <c r="Z24" s="51"/>
      <c r="AA24" s="551" t="s">
        <v>407</v>
      </c>
      <c r="AB24" s="301">
        <f>SUM(AB18:AB23)</f>
        <v>1500</v>
      </c>
      <c r="AC24" s="305"/>
      <c r="AD24" s="308">
        <f>SUM(AD18:AD23)</f>
        <v>0</v>
      </c>
      <c r="AE24" s="560"/>
    </row>
    <row r="25" spans="1:31" ht="16.2" customHeight="1" thickTop="1" thickBot="1">
      <c r="A25" s="51">
        <v>3</v>
      </c>
      <c r="B25" s="51">
        <v>76763</v>
      </c>
      <c r="C25" s="450" t="s">
        <v>64</v>
      </c>
      <c r="D25" s="583">
        <v>150</v>
      </c>
      <c r="E25" s="515"/>
      <c r="F25" s="405"/>
      <c r="G25" s="51">
        <v>3</v>
      </c>
      <c r="H25" s="51">
        <v>76795</v>
      </c>
      <c r="I25" s="491" t="s">
        <v>69</v>
      </c>
      <c r="J25" s="351">
        <v>400</v>
      </c>
      <c r="K25" s="515"/>
      <c r="L25" s="404"/>
      <c r="M25" s="51">
        <v>3</v>
      </c>
      <c r="N25" s="51">
        <v>76827</v>
      </c>
      <c r="O25" s="587" t="s">
        <v>73</v>
      </c>
      <c r="P25" s="544">
        <v>200</v>
      </c>
      <c r="Q25" s="515"/>
      <c r="R25" s="405"/>
      <c r="S25" s="51">
        <v>4</v>
      </c>
      <c r="T25" s="51"/>
      <c r="U25" s="551" t="s">
        <v>78</v>
      </c>
      <c r="V25" s="307">
        <f>SUM(V20:V24)</f>
        <v>800</v>
      </c>
      <c r="W25" s="305"/>
      <c r="X25" s="311">
        <f>SUM(X20:X24)</f>
        <v>0</v>
      </c>
      <c r="Y25" s="51">
        <v>9</v>
      </c>
      <c r="Z25" s="51"/>
      <c r="AA25" s="450"/>
      <c r="AB25" s="544"/>
      <c r="AC25" s="515"/>
      <c r="AD25" s="163"/>
      <c r="AE25" s="560"/>
    </row>
    <row r="26" spans="1:31" ht="16.2" customHeight="1" thickTop="1">
      <c r="A26" s="51">
        <v>3</v>
      </c>
      <c r="B26" s="51">
        <v>76765</v>
      </c>
      <c r="C26" s="491" t="s">
        <v>65</v>
      </c>
      <c r="D26" s="544">
        <v>200</v>
      </c>
      <c r="E26" s="515"/>
      <c r="F26" s="405"/>
      <c r="G26" s="51">
        <v>3</v>
      </c>
      <c r="H26" s="51">
        <v>76797</v>
      </c>
      <c r="I26" s="491" t="s">
        <v>1531</v>
      </c>
      <c r="J26" s="656" t="s">
        <v>1625</v>
      </c>
      <c r="K26" s="515"/>
      <c r="L26" s="405"/>
      <c r="M26" s="51">
        <v>3</v>
      </c>
      <c r="N26" s="51">
        <v>76829</v>
      </c>
      <c r="O26" s="457" t="s">
        <v>74</v>
      </c>
      <c r="P26" s="583">
        <v>250</v>
      </c>
      <c r="Q26" s="515"/>
      <c r="R26" s="405"/>
      <c r="S26" s="51">
        <v>2</v>
      </c>
      <c r="T26" s="488" t="s">
        <v>1444</v>
      </c>
      <c r="U26" s="855" t="s">
        <v>392</v>
      </c>
      <c r="V26" s="856"/>
      <c r="W26" s="856"/>
      <c r="X26" s="857"/>
      <c r="Y26" s="51"/>
      <c r="Z26" s="51"/>
      <c r="AA26" s="450"/>
      <c r="AB26" s="352"/>
      <c r="AC26" s="184"/>
      <c r="AD26" s="157"/>
      <c r="AE26" s="516"/>
    </row>
    <row r="27" spans="1:31" ht="16.2" customHeight="1">
      <c r="A27" s="51">
        <v>3</v>
      </c>
      <c r="B27" s="51">
        <v>76767</v>
      </c>
      <c r="C27" s="491" t="s">
        <v>1235</v>
      </c>
      <c r="D27" s="583">
        <v>150</v>
      </c>
      <c r="E27" s="588"/>
      <c r="F27" s="405"/>
      <c r="G27" s="51">
        <v>3</v>
      </c>
      <c r="H27" s="51">
        <v>76798</v>
      </c>
      <c r="I27" s="491" t="s">
        <v>1628</v>
      </c>
      <c r="J27" s="544">
        <v>200</v>
      </c>
      <c r="K27" s="515"/>
      <c r="L27" s="405"/>
      <c r="M27" s="51">
        <v>3</v>
      </c>
      <c r="N27" s="51">
        <v>76831</v>
      </c>
      <c r="O27" s="457" t="s">
        <v>75</v>
      </c>
      <c r="P27" s="351">
        <v>150</v>
      </c>
      <c r="Q27" s="515"/>
      <c r="R27" s="405"/>
      <c r="S27" s="51">
        <v>3</v>
      </c>
      <c r="T27" s="51"/>
      <c r="U27" s="450"/>
      <c r="V27" s="757"/>
      <c r="W27" s="261"/>
      <c r="X27" s="404"/>
      <c r="Y27" s="51"/>
      <c r="Z27" s="51"/>
      <c r="AA27" s="491"/>
      <c r="AB27" s="353"/>
      <c r="AC27" s="135"/>
      <c r="AD27" s="241"/>
      <c r="AE27" s="516"/>
    </row>
    <row r="28" spans="1:31" ht="16.2" customHeight="1" thickBot="1">
      <c r="A28" s="51">
        <v>3</v>
      </c>
      <c r="B28" s="51">
        <v>76769</v>
      </c>
      <c r="C28" s="491" t="s">
        <v>454</v>
      </c>
      <c r="D28" s="351">
        <v>150</v>
      </c>
      <c r="E28" s="515"/>
      <c r="F28" s="405"/>
      <c r="G28" s="51">
        <v>3</v>
      </c>
      <c r="H28" s="51">
        <v>76801</v>
      </c>
      <c r="I28" s="491" t="s">
        <v>70</v>
      </c>
      <c r="J28" s="586">
        <v>350</v>
      </c>
      <c r="K28" s="515"/>
      <c r="L28" s="405"/>
      <c r="M28" s="51">
        <v>3</v>
      </c>
      <c r="N28" s="51">
        <v>76833</v>
      </c>
      <c r="O28" s="457" t="s">
        <v>76</v>
      </c>
      <c r="P28" s="544">
        <v>100</v>
      </c>
      <c r="Q28" s="519"/>
      <c r="R28" s="405"/>
      <c r="S28" s="51">
        <v>3</v>
      </c>
      <c r="T28" s="51"/>
      <c r="U28" s="491"/>
      <c r="V28" s="544"/>
      <c r="W28" s="515"/>
      <c r="X28" s="163"/>
      <c r="Y28" s="51"/>
      <c r="Z28" s="51"/>
      <c r="AA28" s="491"/>
      <c r="AB28" s="351"/>
      <c r="AC28" s="131"/>
      <c r="AD28" s="147"/>
      <c r="AE28" s="516"/>
    </row>
    <row r="29" spans="1:31" ht="16.2" customHeight="1" thickTop="1" thickBot="1">
      <c r="A29" s="51">
        <v>3</v>
      </c>
      <c r="B29" s="51"/>
      <c r="C29" s="491"/>
      <c r="D29" s="351"/>
      <c r="E29" s="549"/>
      <c r="F29" s="405"/>
      <c r="G29" s="51">
        <v>3</v>
      </c>
      <c r="H29" s="51">
        <v>76803</v>
      </c>
      <c r="I29" s="491" t="s">
        <v>71</v>
      </c>
      <c r="J29" s="544">
        <v>50</v>
      </c>
      <c r="K29" s="515"/>
      <c r="L29" s="405"/>
      <c r="M29" s="51">
        <v>3</v>
      </c>
      <c r="N29" s="51"/>
      <c r="O29" s="457"/>
      <c r="P29" s="544"/>
      <c r="Q29" s="519"/>
      <c r="R29" s="405"/>
      <c r="S29" s="51">
        <v>4</v>
      </c>
      <c r="T29" s="51"/>
      <c r="U29" s="551" t="s">
        <v>392</v>
      </c>
      <c r="V29" s="301">
        <f>SUM(V27:V28)</f>
        <v>0</v>
      </c>
      <c r="W29" s="589"/>
      <c r="X29" s="308">
        <f>SUM(X27:X28)</f>
        <v>0</v>
      </c>
      <c r="Y29" s="51"/>
      <c r="Z29" s="51"/>
      <c r="AA29" s="491"/>
      <c r="AB29" s="583"/>
      <c r="AC29" s="184"/>
      <c r="AD29" s="157"/>
      <c r="AE29" s="516"/>
    </row>
    <row r="30" spans="1:31" ht="16.2" customHeight="1" thickTop="1">
      <c r="A30" s="51">
        <v>3</v>
      </c>
      <c r="B30" s="51"/>
      <c r="C30" s="457"/>
      <c r="D30" s="586"/>
      <c r="E30" s="515"/>
      <c r="F30" s="469"/>
      <c r="G30" s="51">
        <v>3</v>
      </c>
      <c r="H30" s="51"/>
      <c r="I30" s="457"/>
      <c r="J30" s="586"/>
      <c r="K30" s="515"/>
      <c r="L30" s="405"/>
      <c r="M30" s="51">
        <v>3</v>
      </c>
      <c r="N30" s="51"/>
      <c r="O30" s="457"/>
      <c r="P30" s="544"/>
      <c r="Q30" s="131"/>
      <c r="R30" s="405"/>
      <c r="S30" s="51">
        <v>2</v>
      </c>
      <c r="T30" s="488" t="s">
        <v>1445</v>
      </c>
      <c r="U30" s="855" t="s">
        <v>393</v>
      </c>
      <c r="V30" s="856"/>
      <c r="W30" s="856"/>
      <c r="X30" s="857"/>
      <c r="Y30" s="51"/>
      <c r="Z30" s="51"/>
      <c r="AA30" s="491"/>
      <c r="AB30" s="143"/>
      <c r="AC30" s="131"/>
      <c r="AD30" s="132"/>
      <c r="AE30" s="516"/>
    </row>
    <row r="31" spans="1:31" ht="16.2" customHeight="1">
      <c r="A31" s="51">
        <v>3</v>
      </c>
      <c r="B31" s="51"/>
      <c r="C31" s="457"/>
      <c r="D31" s="586"/>
      <c r="E31" s="519"/>
      <c r="F31" s="164"/>
      <c r="G31" s="51">
        <v>3</v>
      </c>
      <c r="H31" s="51"/>
      <c r="I31" s="554"/>
      <c r="J31" s="519"/>
      <c r="K31" s="515"/>
      <c r="L31" s="163"/>
      <c r="M31" s="51">
        <v>3</v>
      </c>
      <c r="N31" s="51"/>
      <c r="O31" s="457"/>
      <c r="P31" s="544"/>
      <c r="Q31" s="515"/>
      <c r="R31" s="405"/>
      <c r="S31" s="51">
        <v>3</v>
      </c>
      <c r="T31" s="51">
        <v>76849</v>
      </c>
      <c r="U31" s="450" t="s">
        <v>1201</v>
      </c>
      <c r="V31" s="353">
        <v>150</v>
      </c>
      <c r="W31" s="591"/>
      <c r="X31" s="404"/>
      <c r="Y31" s="51"/>
      <c r="Z31" s="51"/>
      <c r="AA31" s="545"/>
      <c r="AB31" s="139"/>
      <c r="AC31" s="184"/>
      <c r="AD31" s="157"/>
      <c r="AE31" s="516"/>
    </row>
    <row r="32" spans="1:31" ht="16.2" customHeight="1" thickBot="1">
      <c r="A32" s="51">
        <v>3</v>
      </c>
      <c r="B32" s="51"/>
      <c r="C32" s="555"/>
      <c r="D32" s="556"/>
      <c r="E32" s="556"/>
      <c r="F32" s="182"/>
      <c r="G32" s="51">
        <v>3</v>
      </c>
      <c r="H32" s="51"/>
      <c r="I32" s="554"/>
      <c r="J32" s="519"/>
      <c r="K32" s="519"/>
      <c r="L32" s="264"/>
      <c r="M32" s="51">
        <v>3</v>
      </c>
      <c r="N32" s="51"/>
      <c r="O32" s="457"/>
      <c r="P32" s="590"/>
      <c r="Q32" s="549"/>
      <c r="R32" s="405"/>
      <c r="S32" s="51">
        <v>3</v>
      </c>
      <c r="T32" s="51">
        <v>76851</v>
      </c>
      <c r="U32" s="491" t="s">
        <v>1202</v>
      </c>
      <c r="V32" s="351">
        <v>150</v>
      </c>
      <c r="W32" s="592"/>
      <c r="X32" s="405"/>
      <c r="Y32" s="51"/>
      <c r="Z32" s="51"/>
      <c r="AA32" s="545"/>
      <c r="AB32" s="139"/>
      <c r="AC32" s="184"/>
      <c r="AD32" s="157"/>
      <c r="AE32" s="516"/>
    </row>
    <row r="33" spans="1:31" ht="16.2" customHeight="1" thickTop="1" thickBot="1">
      <c r="A33" s="51">
        <v>4</v>
      </c>
      <c r="B33" s="51"/>
      <c r="C33" s="551" t="s">
        <v>62</v>
      </c>
      <c r="D33" s="558">
        <f>SUM(D20:D32)</f>
        <v>1950</v>
      </c>
      <c r="E33" s="564"/>
      <c r="F33" s="308">
        <f>SUM(F20:F32)</f>
        <v>0</v>
      </c>
      <c r="G33" s="51">
        <v>3</v>
      </c>
      <c r="H33" s="51"/>
      <c r="I33" s="554"/>
      <c r="J33" s="519"/>
      <c r="K33" s="519"/>
      <c r="L33" s="263"/>
      <c r="M33" s="51">
        <v>3</v>
      </c>
      <c r="N33" s="51"/>
      <c r="O33" s="555"/>
      <c r="P33" s="556"/>
      <c r="Q33" s="556"/>
      <c r="R33" s="182"/>
      <c r="S33" s="51">
        <v>3</v>
      </c>
      <c r="T33" s="51">
        <v>76853</v>
      </c>
      <c r="U33" s="491" t="s">
        <v>1203</v>
      </c>
      <c r="V33" s="544">
        <v>250</v>
      </c>
      <c r="W33" s="515"/>
      <c r="X33" s="405"/>
      <c r="Y33" s="51"/>
      <c r="Z33" s="51"/>
      <c r="AA33" s="545"/>
      <c r="AB33" s="139"/>
      <c r="AC33" s="184"/>
      <c r="AD33" s="157"/>
      <c r="AE33" s="516"/>
    </row>
    <row r="34" spans="1:31" ht="16.2" customHeight="1" thickTop="1" thickBot="1">
      <c r="A34" s="51">
        <v>2</v>
      </c>
      <c r="B34" s="488" t="s">
        <v>1436</v>
      </c>
      <c r="C34" s="855" t="s">
        <v>386</v>
      </c>
      <c r="D34" s="856"/>
      <c r="E34" s="856"/>
      <c r="F34" s="857"/>
      <c r="G34" s="51">
        <v>3</v>
      </c>
      <c r="H34" s="51"/>
      <c r="I34" s="554"/>
      <c r="J34" s="519"/>
      <c r="K34" s="519"/>
      <c r="L34" s="164"/>
      <c r="M34" s="51">
        <v>4</v>
      </c>
      <c r="N34" s="51"/>
      <c r="O34" s="551" t="s">
        <v>335</v>
      </c>
      <c r="P34" s="558">
        <f>SUM(P21:P33)</f>
        <v>1550</v>
      </c>
      <c r="Q34" s="552"/>
      <c r="R34" s="327">
        <f>SUM(R21:R33)</f>
        <v>0</v>
      </c>
      <c r="S34" s="51">
        <v>3</v>
      </c>
      <c r="T34" s="51">
        <v>76855</v>
      </c>
      <c r="U34" s="457" t="s">
        <v>1204</v>
      </c>
      <c r="V34" s="353">
        <v>100</v>
      </c>
      <c r="W34" s="594"/>
      <c r="X34" s="405"/>
      <c r="Y34" s="51"/>
      <c r="Z34" s="51"/>
      <c r="AA34" s="545"/>
      <c r="AB34" s="139"/>
      <c r="AC34" s="184"/>
      <c r="AD34" s="157"/>
      <c r="AE34" s="516"/>
    </row>
    <row r="35" spans="1:31" ht="16.2" customHeight="1" thickTop="1" thickBot="1">
      <c r="A35" s="51">
        <v>3</v>
      </c>
      <c r="B35" s="51">
        <v>76773</v>
      </c>
      <c r="C35" s="491" t="s">
        <v>1188</v>
      </c>
      <c r="D35" s="544">
        <v>500</v>
      </c>
      <c r="E35" s="592"/>
      <c r="F35" s="404"/>
      <c r="G35" s="51">
        <v>3</v>
      </c>
      <c r="H35" s="51"/>
      <c r="I35" s="593"/>
      <c r="J35" s="556"/>
      <c r="K35" s="556"/>
      <c r="L35" s="300"/>
      <c r="M35" s="51">
        <v>2</v>
      </c>
      <c r="N35" s="488" t="s">
        <v>1441</v>
      </c>
      <c r="O35" s="852" t="s">
        <v>77</v>
      </c>
      <c r="P35" s="853"/>
      <c r="Q35" s="853"/>
      <c r="R35" s="854"/>
      <c r="S35" s="51">
        <v>3</v>
      </c>
      <c r="T35" s="51">
        <v>76857</v>
      </c>
      <c r="U35" s="491" t="s">
        <v>1205</v>
      </c>
      <c r="V35" s="143">
        <v>150</v>
      </c>
      <c r="W35" s="573"/>
      <c r="X35" s="405"/>
      <c r="Y35" s="51"/>
      <c r="Z35" s="51"/>
      <c r="AA35" s="561"/>
      <c r="AB35" s="515"/>
      <c r="AC35" s="515"/>
      <c r="AD35" s="550"/>
      <c r="AE35" s="516"/>
    </row>
    <row r="36" spans="1:31" ht="16.2" customHeight="1" thickTop="1" thickBot="1">
      <c r="A36" s="51">
        <v>3</v>
      </c>
      <c r="B36" s="51">
        <v>76775</v>
      </c>
      <c r="C36" s="491" t="s">
        <v>1191</v>
      </c>
      <c r="D36" s="544">
        <v>100</v>
      </c>
      <c r="E36" s="515"/>
      <c r="F36" s="405"/>
      <c r="G36" s="51">
        <v>4</v>
      </c>
      <c r="H36" s="51"/>
      <c r="I36" s="595" t="s">
        <v>331</v>
      </c>
      <c r="J36" s="301">
        <f>SUM(J25:J35)</f>
        <v>1000</v>
      </c>
      <c r="K36" s="579"/>
      <c r="L36" s="308">
        <f>SUM(L25:L35)</f>
        <v>0</v>
      </c>
      <c r="M36" s="51">
        <v>3</v>
      </c>
      <c r="N36" s="51">
        <v>76835</v>
      </c>
      <c r="O36" s="587" t="s">
        <v>1196</v>
      </c>
      <c r="P36" s="582">
        <v>200</v>
      </c>
      <c r="Q36" s="511"/>
      <c r="R36" s="404"/>
      <c r="S36" s="51">
        <v>3</v>
      </c>
      <c r="T36" s="51">
        <v>76859</v>
      </c>
      <c r="U36" s="457" t="s">
        <v>1206</v>
      </c>
      <c r="V36" s="143">
        <v>100</v>
      </c>
      <c r="W36" s="596"/>
      <c r="X36" s="405"/>
      <c r="Y36" s="51"/>
      <c r="Z36" s="51"/>
      <c r="AA36" s="561"/>
      <c r="AB36" s="515"/>
      <c r="AC36" s="515"/>
      <c r="AD36" s="550"/>
      <c r="AE36" s="516"/>
    </row>
    <row r="37" spans="1:31" ht="16.2" customHeight="1" thickTop="1">
      <c r="A37" s="51">
        <v>3</v>
      </c>
      <c r="B37" s="51">
        <v>76777</v>
      </c>
      <c r="C37" s="491" t="s">
        <v>1189</v>
      </c>
      <c r="D37" s="544">
        <v>50</v>
      </c>
      <c r="E37" s="515"/>
      <c r="F37" s="405"/>
      <c r="G37" s="51">
        <v>2</v>
      </c>
      <c r="H37" s="488" t="s">
        <v>1439</v>
      </c>
      <c r="I37" s="855" t="s">
        <v>72</v>
      </c>
      <c r="J37" s="856"/>
      <c r="K37" s="856"/>
      <c r="L37" s="857"/>
      <c r="M37" s="51">
        <v>3</v>
      </c>
      <c r="N37" s="51">
        <v>76837</v>
      </c>
      <c r="O37" s="491" t="s">
        <v>1250</v>
      </c>
      <c r="P37" s="352">
        <v>150</v>
      </c>
      <c r="Q37" s="184"/>
      <c r="R37" s="405"/>
      <c r="S37" s="51">
        <v>3</v>
      </c>
      <c r="T37" s="51">
        <v>76861</v>
      </c>
      <c r="U37" s="457" t="s">
        <v>218</v>
      </c>
      <c r="V37" s="544">
        <v>150</v>
      </c>
      <c r="W37" s="596"/>
      <c r="X37" s="405"/>
      <c r="Y37" s="51"/>
      <c r="Z37" s="51"/>
      <c r="AA37" s="561"/>
      <c r="AB37" s="515"/>
      <c r="AC37" s="515"/>
      <c r="AD37" s="550"/>
      <c r="AE37" s="516"/>
    </row>
    <row r="38" spans="1:31" ht="16.2" customHeight="1" thickBot="1">
      <c r="A38" s="51">
        <v>3</v>
      </c>
      <c r="B38" s="51">
        <v>76779</v>
      </c>
      <c r="C38" s="457" t="s">
        <v>1190</v>
      </c>
      <c r="D38" s="544">
        <v>50</v>
      </c>
      <c r="E38" s="515"/>
      <c r="F38" s="405"/>
      <c r="G38" s="51">
        <v>3</v>
      </c>
      <c r="H38" s="51">
        <v>76805</v>
      </c>
      <c r="I38" s="448" t="s">
        <v>1541</v>
      </c>
      <c r="J38" s="353">
        <v>600</v>
      </c>
      <c r="K38" s="519"/>
      <c r="L38" s="404"/>
      <c r="M38" s="51">
        <v>3</v>
      </c>
      <c r="N38" s="51"/>
      <c r="O38" s="554"/>
      <c r="P38" s="208"/>
      <c r="Q38" s="135"/>
      <c r="R38" s="133"/>
      <c r="S38" s="51">
        <v>3</v>
      </c>
      <c r="T38" s="51">
        <v>76863</v>
      </c>
      <c r="U38" s="598" t="s">
        <v>1207</v>
      </c>
      <c r="V38" s="143">
        <v>300</v>
      </c>
      <c r="W38" s="596"/>
      <c r="X38" s="405"/>
      <c r="Y38" s="51"/>
      <c r="Z38" s="51"/>
      <c r="AA38" s="561"/>
      <c r="AB38" s="515"/>
      <c r="AC38" s="515"/>
      <c r="AD38" s="550"/>
      <c r="AE38" s="560"/>
    </row>
    <row r="39" spans="1:31" ht="16.2" customHeight="1" thickTop="1" thickBot="1">
      <c r="A39" s="51">
        <v>3</v>
      </c>
      <c r="B39" s="51"/>
      <c r="C39" s="457"/>
      <c r="D39" s="544"/>
      <c r="E39" s="573"/>
      <c r="F39" s="405"/>
      <c r="G39" s="51">
        <v>3</v>
      </c>
      <c r="H39" s="51">
        <v>76811</v>
      </c>
      <c r="I39" s="491" t="s">
        <v>1597</v>
      </c>
      <c r="J39" s="620">
        <v>800</v>
      </c>
      <c r="K39" s="515"/>
      <c r="L39" s="405"/>
      <c r="M39" s="51">
        <v>4</v>
      </c>
      <c r="N39" s="51"/>
      <c r="O39" s="551" t="s">
        <v>77</v>
      </c>
      <c r="P39" s="301">
        <f>SUM(P36:P38)</f>
        <v>350</v>
      </c>
      <c r="Q39" s="305"/>
      <c r="R39" s="308">
        <f>SUM(R36:R38)</f>
        <v>0</v>
      </c>
      <c r="S39" s="51">
        <v>3</v>
      </c>
      <c r="T39" s="51">
        <v>76864</v>
      </c>
      <c r="U39" s="553" t="s">
        <v>1565</v>
      </c>
      <c r="V39" s="515">
        <v>150</v>
      </c>
      <c r="W39" s="515"/>
      <c r="X39" s="163"/>
      <c r="Y39" s="51"/>
      <c r="Z39" s="51"/>
      <c r="AA39" s="561"/>
      <c r="AB39" s="515"/>
      <c r="AC39" s="515"/>
      <c r="AD39" s="550"/>
      <c r="AE39" s="560"/>
    </row>
    <row r="40" spans="1:31" ht="16.2" customHeight="1" thickTop="1" thickBot="1">
      <c r="A40" s="51">
        <v>3</v>
      </c>
      <c r="B40" s="51"/>
      <c r="C40" s="457"/>
      <c r="D40" s="585"/>
      <c r="E40" s="588"/>
      <c r="F40" s="161"/>
      <c r="G40" s="51">
        <v>3</v>
      </c>
      <c r="H40" s="51"/>
      <c r="I40" s="491"/>
      <c r="J40" s="620"/>
      <c r="K40" s="515"/>
      <c r="L40" s="405"/>
      <c r="M40" s="51">
        <v>9</v>
      </c>
      <c r="N40" s="51"/>
      <c r="O40" s="599"/>
      <c r="P40" s="600"/>
      <c r="Q40" s="600"/>
      <c r="R40" s="601"/>
      <c r="S40" s="51">
        <v>3</v>
      </c>
      <c r="T40" s="51">
        <v>76865</v>
      </c>
      <c r="U40" s="393" t="s">
        <v>1208</v>
      </c>
      <c r="V40" s="446" t="s">
        <v>1606</v>
      </c>
      <c r="W40" s="573"/>
      <c r="X40" s="405"/>
      <c r="Y40" s="51"/>
      <c r="Z40" s="51"/>
      <c r="AA40" s="561"/>
      <c r="AB40" s="515"/>
      <c r="AC40" s="515"/>
      <c r="AD40" s="550"/>
      <c r="AE40" s="560"/>
    </row>
    <row r="41" spans="1:31" ht="16.2" customHeight="1" thickTop="1">
      <c r="A41" s="51">
        <v>4</v>
      </c>
      <c r="B41" s="51"/>
      <c r="C41" s="602" t="s">
        <v>386</v>
      </c>
      <c r="D41" s="535">
        <f>SUM(D35:D40)</f>
        <v>700</v>
      </c>
      <c r="E41" s="603"/>
      <c r="F41" s="144">
        <f>SUM(F35:F40)</f>
        <v>0</v>
      </c>
      <c r="G41" s="51">
        <v>3</v>
      </c>
      <c r="H41" s="51"/>
      <c r="I41" s="604"/>
      <c r="J41" s="605"/>
      <c r="K41" s="566"/>
      <c r="L41" s="421"/>
      <c r="M41" s="51"/>
      <c r="N41" s="51"/>
      <c r="O41" s="606"/>
      <c r="P41" s="566"/>
      <c r="Q41" s="566"/>
      <c r="R41" s="567"/>
      <c r="S41" s="51">
        <v>4</v>
      </c>
      <c r="T41" s="51"/>
      <c r="U41" s="607" t="s">
        <v>804</v>
      </c>
      <c r="V41" s="27">
        <f>SUM(V31:V40)</f>
        <v>1500</v>
      </c>
      <c r="W41" s="603"/>
      <c r="X41" s="144">
        <f>SUM(X31:X40)</f>
        <v>0</v>
      </c>
      <c r="Y41" s="51"/>
      <c r="Z41" s="51"/>
      <c r="AA41" s="606"/>
      <c r="AB41" s="566"/>
      <c r="AC41" s="566"/>
      <c r="AD41" s="567"/>
      <c r="AE41" s="608"/>
    </row>
    <row r="42" spans="1:31" ht="16.2" customHeight="1">
      <c r="A42" s="51">
        <v>9</v>
      </c>
      <c r="B42" s="51"/>
      <c r="G42" s="51">
        <v>9</v>
      </c>
      <c r="H42" s="51"/>
      <c r="I42" s="489"/>
      <c r="J42" s="489"/>
      <c r="K42" s="489"/>
      <c r="L42" s="489"/>
      <c r="M42" s="51"/>
      <c r="N42" s="51"/>
      <c r="O42" s="489"/>
      <c r="P42" s="489"/>
      <c r="Q42" s="489"/>
      <c r="R42" s="489"/>
      <c r="S42" s="51">
        <v>9</v>
      </c>
      <c r="T42" s="51"/>
      <c r="U42" s="224"/>
      <c r="V42" s="609"/>
      <c r="W42" s="489"/>
      <c r="X42" s="489"/>
      <c r="Y42" s="51"/>
      <c r="Z42" s="51"/>
      <c r="AA42" s="234"/>
      <c r="AB42" s="609"/>
      <c r="AC42" s="489"/>
      <c r="AD42" s="610" t="s">
        <v>1131</v>
      </c>
      <c r="AE42" s="611">
        <f>D18+D33+D41+J23+J36+P19+P34+P39+V18+V25+V29+V41+AB16+AB24</f>
        <v>13850</v>
      </c>
    </row>
    <row r="43" spans="1:31" ht="16.2" customHeight="1"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224"/>
      <c r="V43" s="489"/>
      <c r="W43" s="489"/>
      <c r="X43" s="489"/>
      <c r="Y43" s="489"/>
      <c r="Z43" s="489"/>
      <c r="AA43" s="224"/>
      <c r="AB43" s="489"/>
      <c r="AC43" s="489"/>
      <c r="AD43" s="527" t="s">
        <v>1132</v>
      </c>
      <c r="AE43" s="93">
        <f>F18+F33+F41+L23+L36+R19+R34+R39+X18+X25+X29+X41+AD16+AD24</f>
        <v>0</v>
      </c>
    </row>
    <row r="44" spans="1:31" ht="16.2" customHeight="1"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571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</row>
    <row r="45" spans="1:31" ht="16.2" customHeight="1"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571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</row>
    <row r="46" spans="1:31" ht="16.2" customHeight="1"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571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</row>
    <row r="47" spans="1:31" ht="16.2" customHeight="1"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571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1:31" ht="16.2" customHeight="1"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571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3:31" ht="16.2" customHeight="1"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571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3:31" ht="16.2" customHeight="1"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571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3:31" ht="16.2" customHeight="1"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571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3:31" ht="16.2" customHeight="1"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571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3:31" ht="16.2" customHeight="1"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571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3:31" ht="16.2" customHeight="1"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571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</row>
    <row r="55" spans="3:31" ht="16.2" customHeight="1"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571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3:31" ht="16.2" customHeight="1"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571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</row>
    <row r="57" spans="3:31" ht="16.2" customHeight="1"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571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</row>
    <row r="58" spans="3:31" ht="16.2" customHeight="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571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</row>
    <row r="59" spans="3:31" ht="16.2" customHeight="1"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571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</row>
    <row r="60" spans="3:31" ht="16.2" customHeight="1"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571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</row>
    <row r="61" spans="3:31" ht="16.2" customHeight="1"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571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</row>
    <row r="62" spans="3:31" ht="16.2" customHeight="1"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571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</row>
    <row r="63" spans="3:31" ht="16.2" customHeight="1"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571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</row>
    <row r="64" spans="3:31" ht="16.2" customHeight="1"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571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</row>
    <row r="65" spans="3:31" ht="16.2" customHeight="1"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571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</row>
    <row r="66" spans="3:31" ht="16.2" customHeight="1"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571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</row>
    <row r="67" spans="3:31" ht="16.2" customHeight="1"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571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</row>
    <row r="68" spans="3:31" ht="16.2" customHeight="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571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</row>
    <row r="69" spans="3:31" ht="16.2" customHeight="1"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571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</row>
    <row r="70" spans="3:31" ht="16.2" customHeight="1"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571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</row>
    <row r="71" spans="3:31" ht="16.2" customHeight="1"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571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</row>
    <row r="72" spans="3:31" ht="16.2" customHeight="1"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571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3:31" ht="16.2" customHeight="1"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571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</row>
    <row r="74" spans="3:31" ht="16.2" customHeight="1"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571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</row>
    <row r="75" spans="3:31" ht="16.2" customHeight="1"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571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</row>
    <row r="76" spans="3:31" ht="16.2" customHeight="1"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</row>
    <row r="77" spans="3:31" ht="16.2" customHeight="1"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</row>
    <row r="78" spans="3:31" ht="16.2" customHeight="1"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</row>
    <row r="79" spans="3:31" ht="16.2" customHeight="1"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</row>
    <row r="80" spans="3:31" ht="16.2" customHeight="1"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</row>
    <row r="81" spans="3:31" ht="16.2" customHeight="1"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</row>
    <row r="82" spans="3:31" ht="16.2" customHeight="1"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</row>
    <row r="83" spans="3:31" ht="16.2" customHeight="1"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</row>
    <row r="84" spans="3:31" ht="16.2" customHeight="1"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89"/>
    </row>
    <row r="85" spans="3:31" ht="16.2" customHeight="1"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</row>
    <row r="86" spans="3:31" ht="16.2" customHeight="1"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  <c r="V86" s="489"/>
      <c r="W86" s="489"/>
      <c r="X86" s="489"/>
      <c r="Y86" s="489"/>
      <c r="Z86" s="489"/>
      <c r="AA86" s="489"/>
      <c r="AB86" s="489"/>
      <c r="AC86" s="489"/>
      <c r="AD86" s="489"/>
      <c r="AE86" s="489"/>
    </row>
    <row r="87" spans="3:31" ht="16.2" customHeight="1">
      <c r="C87" s="489"/>
      <c r="D87" s="489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</row>
    <row r="88" spans="3:31" ht="16.2" customHeight="1"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</row>
    <row r="89" spans="3:31" ht="16.2" customHeight="1"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</row>
    <row r="90" spans="3:31" ht="16.2" customHeight="1"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89"/>
    </row>
    <row r="91" spans="3:31" ht="16.2" customHeight="1"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</row>
    <row r="92" spans="3:31" ht="16.2" customHeight="1"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489"/>
      <c r="AD92" s="489"/>
      <c r="AE92" s="489"/>
    </row>
    <row r="93" spans="3:31" ht="16.2" customHeight="1"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89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89"/>
      <c r="AC93" s="489"/>
      <c r="AD93" s="489"/>
      <c r="AE93" s="489"/>
    </row>
    <row r="94" spans="3:31" ht="16.2" customHeight="1"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89"/>
      <c r="O94" s="489"/>
      <c r="P94" s="489"/>
      <c r="Q94" s="489"/>
      <c r="R94" s="489"/>
      <c r="S94" s="489"/>
      <c r="T94" s="489"/>
      <c r="U94" s="489"/>
      <c r="V94" s="489"/>
      <c r="W94" s="489"/>
      <c r="X94" s="489"/>
      <c r="Y94" s="489"/>
      <c r="Z94" s="489"/>
      <c r="AA94" s="489"/>
      <c r="AB94" s="489"/>
      <c r="AC94" s="489"/>
      <c r="AD94" s="489"/>
      <c r="AE94" s="489"/>
    </row>
    <row r="95" spans="3:31" ht="16.2" customHeight="1"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</row>
    <row r="96" spans="3:31" ht="16.2" customHeight="1">
      <c r="C96" s="489"/>
      <c r="D96" s="489"/>
      <c r="E96" s="489"/>
      <c r="F96" s="489"/>
      <c r="G96" s="489"/>
      <c r="H96" s="489"/>
      <c r="I96" s="489"/>
      <c r="J96" s="489"/>
      <c r="K96" s="489"/>
      <c r="L96" s="489"/>
      <c r="M96" s="489"/>
      <c r="N96" s="489"/>
      <c r="O96" s="489"/>
      <c r="P96" s="489"/>
      <c r="Q96" s="489"/>
      <c r="R96" s="489"/>
      <c r="S96" s="489"/>
      <c r="T96" s="489"/>
      <c r="U96" s="489"/>
      <c r="V96" s="489"/>
      <c r="W96" s="489"/>
      <c r="X96" s="489"/>
      <c r="Y96" s="489"/>
      <c r="Z96" s="489"/>
      <c r="AA96" s="489"/>
      <c r="AB96" s="489"/>
      <c r="AC96" s="489"/>
      <c r="AD96" s="489"/>
      <c r="AE96" s="489"/>
    </row>
    <row r="97" spans="3:31" ht="16.2" customHeight="1"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V97" s="489"/>
      <c r="W97" s="489"/>
      <c r="X97" s="489"/>
      <c r="Y97" s="489"/>
      <c r="Z97" s="489"/>
      <c r="AA97" s="489"/>
      <c r="AB97" s="489"/>
      <c r="AC97" s="489"/>
      <c r="AD97" s="489"/>
      <c r="AE97" s="489"/>
    </row>
    <row r="98" spans="3:31" ht="16.2" customHeight="1">
      <c r="C98" s="489"/>
      <c r="D98" s="489"/>
      <c r="E98" s="489"/>
      <c r="F98" s="489"/>
      <c r="G98" s="489"/>
      <c r="H98" s="489"/>
      <c r="I98" s="489"/>
      <c r="J98" s="489"/>
      <c r="K98" s="489"/>
      <c r="L98" s="489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</row>
    <row r="99" spans="3:31" ht="16.2" customHeight="1"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</row>
    <row r="100" spans="3:31" ht="16.2" customHeight="1"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89"/>
      <c r="AC100" s="489"/>
      <c r="AD100" s="489"/>
      <c r="AE100" s="489"/>
    </row>
    <row r="101" spans="3:31" ht="16.2" customHeight="1"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89"/>
      <c r="AE101" s="489"/>
    </row>
    <row r="102" spans="3:31" ht="16.2" customHeight="1"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</row>
    <row r="103" spans="3:31" ht="16.2" customHeight="1">
      <c r="C103" s="489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</row>
    <row r="104" spans="3:31" ht="16.2" customHeight="1"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</row>
    <row r="105" spans="3:31" ht="16.2" customHeight="1"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</row>
    <row r="106" spans="3:31" ht="16.2" customHeight="1"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89"/>
      <c r="V106" s="489"/>
      <c r="W106" s="489"/>
      <c r="X106" s="489"/>
      <c r="Y106" s="489"/>
      <c r="Z106" s="489"/>
      <c r="AA106" s="489"/>
      <c r="AB106" s="489"/>
      <c r="AC106" s="489"/>
      <c r="AD106" s="489"/>
      <c r="AE106" s="489"/>
    </row>
    <row r="107" spans="3:31" ht="16.2" customHeight="1"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</row>
    <row r="108" spans="3:31" ht="16.2" customHeight="1"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  <c r="AE108" s="489"/>
    </row>
    <row r="109" spans="3:31" ht="16.2" customHeight="1">
      <c r="C109" s="489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89"/>
      <c r="V109" s="489"/>
      <c r="W109" s="489"/>
      <c r="X109" s="489"/>
      <c r="Y109" s="489"/>
      <c r="Z109" s="489"/>
      <c r="AA109" s="489"/>
      <c r="AB109" s="489"/>
      <c r="AC109" s="489"/>
      <c r="AD109" s="489"/>
      <c r="AE109" s="489"/>
    </row>
    <row r="110" spans="3:31" ht="16.2" customHeight="1"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89"/>
      <c r="V110" s="489"/>
      <c r="W110" s="489"/>
      <c r="X110" s="489"/>
      <c r="Y110" s="489"/>
      <c r="Z110" s="489"/>
      <c r="AA110" s="489"/>
      <c r="AB110" s="489"/>
      <c r="AC110" s="489"/>
      <c r="AD110" s="489"/>
      <c r="AE110" s="489"/>
    </row>
    <row r="111" spans="3:31" ht="16.2" customHeight="1"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</row>
    <row r="112" spans="3:31" ht="16.2" customHeight="1"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89"/>
      <c r="V112" s="489"/>
      <c r="W112" s="489"/>
      <c r="X112" s="489"/>
      <c r="Y112" s="489"/>
      <c r="Z112" s="489"/>
      <c r="AA112" s="489"/>
      <c r="AB112" s="489"/>
      <c r="AC112" s="489"/>
      <c r="AD112" s="489"/>
      <c r="AE112" s="489"/>
    </row>
    <row r="113" spans="3:31" ht="16.2" customHeight="1"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</row>
    <row r="114" spans="3:31" ht="16.2" customHeight="1">
      <c r="C114" s="489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</row>
    <row r="115" spans="3:31" ht="16.2" customHeight="1"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</row>
    <row r="116" spans="3:31" ht="16.2" customHeight="1"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89"/>
      <c r="V116" s="489"/>
      <c r="W116" s="489"/>
      <c r="X116" s="489"/>
      <c r="Y116" s="489"/>
      <c r="Z116" s="489"/>
      <c r="AA116" s="489"/>
      <c r="AB116" s="489"/>
      <c r="AC116" s="489"/>
      <c r="AD116" s="489"/>
      <c r="AE116" s="489"/>
    </row>
    <row r="117" spans="3:31" ht="16.2" customHeight="1"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89"/>
      <c r="V117" s="489"/>
      <c r="W117" s="489"/>
      <c r="X117" s="489"/>
      <c r="Y117" s="489"/>
      <c r="Z117" s="489"/>
      <c r="AA117" s="489"/>
      <c r="AB117" s="489"/>
      <c r="AC117" s="489"/>
      <c r="AD117" s="489"/>
      <c r="AE117" s="489"/>
    </row>
    <row r="118" spans="3:31" ht="16.2" customHeight="1"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89"/>
      <c r="V118" s="489"/>
      <c r="W118" s="489"/>
      <c r="X118" s="489"/>
      <c r="Y118" s="489"/>
      <c r="Z118" s="489"/>
      <c r="AA118" s="489"/>
      <c r="AB118" s="489"/>
      <c r="AC118" s="489"/>
      <c r="AD118" s="489"/>
      <c r="AE118" s="489"/>
    </row>
    <row r="119" spans="3:31" ht="16.2" customHeight="1">
      <c r="C119" s="489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89"/>
      <c r="V119" s="489"/>
      <c r="W119" s="489"/>
      <c r="X119" s="489"/>
      <c r="Y119" s="489"/>
      <c r="Z119" s="489"/>
      <c r="AA119" s="489"/>
      <c r="AB119" s="489"/>
      <c r="AC119" s="489"/>
      <c r="AD119" s="489"/>
      <c r="AE119" s="489"/>
    </row>
    <row r="120" spans="3:31" ht="16.2" customHeight="1"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89"/>
      <c r="Q120" s="489"/>
      <c r="R120" s="489"/>
      <c r="S120" s="489"/>
      <c r="T120" s="489"/>
      <c r="U120" s="489"/>
      <c r="V120" s="489"/>
      <c r="W120" s="489"/>
      <c r="X120" s="489"/>
      <c r="Y120" s="489"/>
      <c r="Z120" s="489"/>
      <c r="AA120" s="489"/>
      <c r="AB120" s="489"/>
      <c r="AC120" s="489"/>
      <c r="AD120" s="489"/>
      <c r="AE120" s="489"/>
    </row>
    <row r="121" spans="3:31" ht="16.2" customHeight="1">
      <c r="C121" s="489"/>
      <c r="D121" s="489"/>
      <c r="E121" s="489"/>
      <c r="F121" s="489"/>
      <c r="G121" s="489"/>
      <c r="H121" s="489"/>
      <c r="I121" s="489"/>
      <c r="J121" s="489"/>
      <c r="K121" s="489"/>
      <c r="L121" s="489"/>
      <c r="M121" s="489"/>
      <c r="N121" s="489"/>
      <c r="O121" s="489"/>
      <c r="P121" s="489"/>
      <c r="Q121" s="489"/>
      <c r="R121" s="489"/>
      <c r="S121" s="489"/>
      <c r="T121" s="489"/>
      <c r="U121" s="489"/>
      <c r="V121" s="489"/>
      <c r="W121" s="489"/>
      <c r="X121" s="489"/>
      <c r="Y121" s="489"/>
      <c r="Z121" s="489"/>
      <c r="AA121" s="489"/>
      <c r="AB121" s="489"/>
      <c r="AC121" s="489"/>
      <c r="AD121" s="489"/>
    </row>
  </sheetData>
  <sheetProtection formatCells="0"/>
  <mergeCells count="29">
    <mergeCell ref="AA10:AD10"/>
    <mergeCell ref="W5:X5"/>
    <mergeCell ref="D5:L6"/>
    <mergeCell ref="W7:X7"/>
    <mergeCell ref="C10:F10"/>
    <mergeCell ref="I10:L10"/>
    <mergeCell ref="O10:R10"/>
    <mergeCell ref="U10:X10"/>
    <mergeCell ref="P5:V6"/>
    <mergeCell ref="P7:Q8"/>
    <mergeCell ref="AA5:AC6"/>
    <mergeCell ref="AA7:AE8"/>
    <mergeCell ref="D7:L8"/>
    <mergeCell ref="C2:F3"/>
    <mergeCell ref="C34:F34"/>
    <mergeCell ref="O13:R13"/>
    <mergeCell ref="U26:X26"/>
    <mergeCell ref="O20:R20"/>
    <mergeCell ref="I24:L24"/>
    <mergeCell ref="I37:L37"/>
    <mergeCell ref="AA13:AD13"/>
    <mergeCell ref="C19:F19"/>
    <mergeCell ref="U19:X19"/>
    <mergeCell ref="AA17:AD17"/>
    <mergeCell ref="C13:F13"/>
    <mergeCell ref="O35:R35"/>
    <mergeCell ref="I13:L13"/>
    <mergeCell ref="U30:X30"/>
    <mergeCell ref="U13:X13"/>
  </mergeCells>
  <phoneticPr fontId="2"/>
  <conditionalFormatting sqref="F14:F15 F20:F28 F35:F38 L14:L19 L38:L40 R36:R37 R21:R28 R14:R15 X14 X20:X22 X27 AD14 AD18:AD19 AD21 X31:X38 X40 L25:L29">
    <cfRule type="cellIs" dxfId="2" priority="1" operator="greaterThan">
      <formula>D14</formula>
    </cfRule>
  </conditionalFormatting>
  <conditionalFormatting sqref="L38:L41">
    <cfRule type="cellIs" dxfId="1" priority="30" operator="greaterThan">
      <formula>J38</formula>
    </cfRule>
  </conditionalFormatting>
  <hyperlinks>
    <hyperlink ref="C2:F3" location="提案表紙!A1" display="大阪府折込資料表" xr:uid="{00000000-0004-0000-24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9" orientation="landscape" horizontalDpi="300" verticalDpi="300" r:id="rId1"/>
  <headerFooter alignWithMargins="0">
    <oddFooter xml:space="preserve">&amp;RP-33/34
</oddFooter>
  </headerFooter>
  <rowBreaks count="1" manualBreakCount="1">
    <brk id="44" min="2" max="23" man="1"/>
  </rowBreaks>
  <ignoredErrors>
    <ignoredError sqref="D18" unlocked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5">
    <tabColor rgb="FFB6D2F5"/>
    <pageSetUpPr fitToPage="1"/>
  </sheetPr>
  <dimension ref="A1:AE108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2" width="8.6640625" hidden="1" customWidth="1"/>
    <col min="3" max="3" width="13.6640625" customWidth="1"/>
    <col min="4" max="4" width="7.44140625" customWidth="1"/>
    <col min="5" max="5" width="3.33203125" customWidth="1"/>
    <col min="6" max="6" width="8.77734375" customWidth="1"/>
    <col min="7" max="8" width="8.6640625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3" width="8.88671875" hidden="1" customWidth="1"/>
    <col min="14" max="14" width="8.6640625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20" width="8.6640625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6" width="8.6640625" hidden="1" customWidth="1"/>
    <col min="27" max="27" width="13.33203125" customWidth="1"/>
    <col min="28" max="28" width="6.77734375" customWidth="1"/>
    <col min="29" max="29" width="3.33203125" customWidth="1"/>
    <col min="30" max="30" width="8.77734375" customWidth="1"/>
  </cols>
  <sheetData>
    <row r="1" spans="1:31" ht="13.2" hidden="1">
      <c r="A1" s="338" t="s">
        <v>1369</v>
      </c>
      <c r="B1" s="51" t="s">
        <v>1370</v>
      </c>
      <c r="C1" s="22"/>
      <c r="F1" s="51" t="s">
        <v>301</v>
      </c>
      <c r="G1" s="338" t="s">
        <v>1369</v>
      </c>
      <c r="H1" s="51" t="s">
        <v>1370</v>
      </c>
      <c r="L1" s="51" t="s">
        <v>301</v>
      </c>
      <c r="M1" s="338" t="s">
        <v>1369</v>
      </c>
      <c r="N1" s="51" t="s">
        <v>1370</v>
      </c>
      <c r="O1" s="18"/>
      <c r="R1" s="51" t="s">
        <v>301</v>
      </c>
      <c r="S1" s="338" t="s">
        <v>1369</v>
      </c>
      <c r="T1" s="51" t="s">
        <v>1370</v>
      </c>
      <c r="U1" s="18"/>
      <c r="X1" s="51" t="s">
        <v>301</v>
      </c>
      <c r="Y1" s="338" t="s">
        <v>1369</v>
      </c>
      <c r="Z1" s="51" t="s">
        <v>1370</v>
      </c>
      <c r="AA1" s="18"/>
      <c r="AD1" s="51" t="s">
        <v>301</v>
      </c>
    </row>
    <row r="2" spans="1:31" ht="13.5" customHeight="1">
      <c r="C2" s="835" t="s">
        <v>1341</v>
      </c>
      <c r="D2" s="835"/>
      <c r="E2" s="835"/>
      <c r="F2" s="835"/>
      <c r="G2" s="460"/>
      <c r="H2" s="460"/>
      <c r="S2" s="51"/>
      <c r="W2" s="500"/>
      <c r="X2" s="500" t="s">
        <v>1313</v>
      </c>
    </row>
    <row r="3" spans="1:31" ht="13.5" customHeight="1">
      <c r="C3" s="835"/>
      <c r="D3" s="835"/>
      <c r="E3" s="835"/>
      <c r="F3" s="835"/>
      <c r="G3" s="460"/>
      <c r="H3" s="460"/>
      <c r="I3" s="114" t="s">
        <v>602</v>
      </c>
      <c r="S3" s="51"/>
      <c r="W3" s="500"/>
      <c r="X3" s="500" t="s">
        <v>1501</v>
      </c>
    </row>
    <row r="4" spans="1:31" ht="13.5" customHeight="1">
      <c r="C4" t="s">
        <v>256</v>
      </c>
      <c r="I4" s="187">
        <v>45627</v>
      </c>
      <c r="J4" s="186" t="s">
        <v>0</v>
      </c>
      <c r="K4" t="s">
        <v>257</v>
      </c>
      <c r="S4" s="51"/>
      <c r="W4" s="500"/>
      <c r="X4" s="500" t="s">
        <v>1500</v>
      </c>
    </row>
    <row r="5" spans="1:31" ht="13.2" customHeight="1">
      <c r="C5" s="7" t="s">
        <v>258</v>
      </c>
      <c r="D5" s="823">
        <f>提案表紙!K9</f>
        <v>0</v>
      </c>
      <c r="E5" s="823"/>
      <c r="F5" s="823"/>
      <c r="G5" s="823"/>
      <c r="H5" s="823"/>
      <c r="I5" s="823"/>
      <c r="J5" s="823"/>
      <c r="K5" s="823"/>
      <c r="L5" s="824"/>
      <c r="M5" s="462"/>
      <c r="N5" s="463"/>
      <c r="O5" s="7" t="s">
        <v>233</v>
      </c>
      <c r="P5" s="836">
        <f>提案表紙!E9</f>
        <v>0</v>
      </c>
      <c r="Q5" s="836"/>
      <c r="R5" s="836"/>
      <c r="S5" s="836"/>
      <c r="T5" s="836"/>
      <c r="U5" s="836"/>
      <c r="V5" s="837"/>
      <c r="W5" s="821" t="s">
        <v>259</v>
      </c>
      <c r="X5" s="822"/>
      <c r="Y5" s="459"/>
      <c r="Z5" s="459"/>
      <c r="AA5" s="840"/>
      <c r="AB5" s="840"/>
      <c r="AC5" s="841"/>
      <c r="AD5" s="6" t="s">
        <v>260</v>
      </c>
      <c r="AE5" s="6" t="s">
        <v>260</v>
      </c>
    </row>
    <row r="6" spans="1:31" ht="13.2" customHeight="1">
      <c r="C6" s="9"/>
      <c r="D6" s="825"/>
      <c r="E6" s="825"/>
      <c r="F6" s="825"/>
      <c r="G6" s="825"/>
      <c r="H6" s="825"/>
      <c r="I6" s="825"/>
      <c r="J6" s="825"/>
      <c r="K6" s="825"/>
      <c r="L6" s="826"/>
      <c r="M6" s="461"/>
      <c r="N6" s="461"/>
      <c r="O6" s="9"/>
      <c r="P6" s="838"/>
      <c r="Q6" s="838"/>
      <c r="R6" s="838"/>
      <c r="S6" s="838"/>
      <c r="T6" s="838"/>
      <c r="U6" s="838"/>
      <c r="V6" s="839"/>
      <c r="W6" s="9"/>
      <c r="X6" s="11"/>
      <c r="Y6" s="11"/>
      <c r="Z6" s="11"/>
      <c r="AA6" s="842"/>
      <c r="AB6" s="842"/>
      <c r="AC6" s="843"/>
      <c r="AD6" s="409"/>
      <c r="AE6" s="409"/>
    </row>
    <row r="7" spans="1:31" ht="13.2" customHeight="1">
      <c r="C7" s="7" t="s">
        <v>261</v>
      </c>
      <c r="D7" s="823">
        <f>提案表紙!A9</f>
        <v>0</v>
      </c>
      <c r="E7" s="823"/>
      <c r="F7" s="823"/>
      <c r="G7" s="823"/>
      <c r="H7" s="823"/>
      <c r="I7" s="823"/>
      <c r="J7" s="823"/>
      <c r="K7" s="823"/>
      <c r="L7" s="824"/>
      <c r="M7" s="461"/>
      <c r="N7" s="461"/>
      <c r="O7" s="7" t="s">
        <v>812</v>
      </c>
      <c r="P7" s="827">
        <f>提案表紙!G9</f>
        <v>0</v>
      </c>
      <c r="Q7" s="828"/>
      <c r="R7" s="7" t="s">
        <v>262</v>
      </c>
      <c r="U7" s="410">
        <f>AE31</f>
        <v>0</v>
      </c>
      <c r="V7" s="8"/>
      <c r="W7" s="821" t="s">
        <v>263</v>
      </c>
      <c r="X7" s="822"/>
      <c r="Y7" s="459"/>
      <c r="Z7" s="459"/>
      <c r="AA7" s="831"/>
      <c r="AB7" s="831"/>
      <c r="AC7" s="831"/>
      <c r="AD7" s="831"/>
      <c r="AE7" s="832"/>
    </row>
    <row r="8" spans="1:31" ht="13.2" customHeight="1">
      <c r="C8" s="9"/>
      <c r="D8" s="825"/>
      <c r="E8" s="825"/>
      <c r="F8" s="825"/>
      <c r="G8" s="825"/>
      <c r="H8" s="825"/>
      <c r="I8" s="825"/>
      <c r="J8" s="825"/>
      <c r="K8" s="825"/>
      <c r="L8" s="826"/>
      <c r="M8" s="461"/>
      <c r="N8" s="461"/>
      <c r="O8" s="207"/>
      <c r="P8" s="829"/>
      <c r="Q8" s="830"/>
      <c r="R8" s="9" t="s">
        <v>264</v>
      </c>
      <c r="S8" s="11"/>
      <c r="T8" s="11"/>
      <c r="U8" s="410">
        <f>提案表紙!I9</f>
        <v>0</v>
      </c>
      <c r="V8" s="89"/>
      <c r="W8" s="9"/>
      <c r="X8" s="11"/>
      <c r="Y8" s="11"/>
      <c r="Z8" s="11"/>
      <c r="AA8" s="833"/>
      <c r="AB8" s="833"/>
      <c r="AC8" s="833"/>
      <c r="AD8" s="833"/>
      <c r="AE8" s="834"/>
    </row>
    <row r="9" spans="1:31" ht="13.2" customHeight="1"/>
    <row r="10" spans="1:31" ht="16.2" customHeight="1">
      <c r="A10" s="51">
        <v>1</v>
      </c>
      <c r="B10" s="51">
        <v>6</v>
      </c>
      <c r="C10" s="818" t="s">
        <v>997</v>
      </c>
      <c r="D10" s="819"/>
      <c r="E10" s="819"/>
      <c r="F10" s="820"/>
      <c r="G10" s="51">
        <v>1</v>
      </c>
      <c r="H10" s="51">
        <v>6</v>
      </c>
      <c r="I10" s="818" t="s">
        <v>997</v>
      </c>
      <c r="J10" s="819"/>
      <c r="K10" s="819"/>
      <c r="L10" s="820"/>
      <c r="M10" s="22">
        <v>1</v>
      </c>
      <c r="N10" s="22">
        <v>6</v>
      </c>
      <c r="O10" s="818" t="s">
        <v>997</v>
      </c>
      <c r="P10" s="819"/>
      <c r="Q10" s="819"/>
      <c r="R10" s="820"/>
      <c r="S10" s="22">
        <v>1</v>
      </c>
      <c r="T10" s="22">
        <v>6</v>
      </c>
      <c r="U10" s="818" t="s">
        <v>997</v>
      </c>
      <c r="V10" s="819"/>
      <c r="W10" s="819"/>
      <c r="X10" s="820"/>
      <c r="Y10" s="22">
        <v>1</v>
      </c>
      <c r="Z10" s="22">
        <v>6</v>
      </c>
      <c r="AA10" s="818" t="s">
        <v>997</v>
      </c>
      <c r="AB10" s="819"/>
      <c r="AC10" s="819"/>
      <c r="AD10" s="820"/>
      <c r="AE10" s="502" t="s">
        <v>265</v>
      </c>
    </row>
    <row r="11" spans="1:31" ht="16.2" customHeight="1">
      <c r="A11" s="51"/>
      <c r="B11" s="51"/>
      <c r="C11" s="503" t="s">
        <v>266</v>
      </c>
      <c r="D11" s="504" t="s">
        <v>267</v>
      </c>
      <c r="E11" s="319" t="s">
        <v>268</v>
      </c>
      <c r="F11" s="505" t="s">
        <v>236</v>
      </c>
      <c r="G11" s="51"/>
      <c r="H11" s="51"/>
      <c r="I11" s="503" t="s">
        <v>266</v>
      </c>
      <c r="J11" s="504" t="s">
        <v>267</v>
      </c>
      <c r="K11" s="319" t="s">
        <v>268</v>
      </c>
      <c r="L11" s="505" t="s">
        <v>236</v>
      </c>
      <c r="M11" s="506"/>
      <c r="N11" s="506"/>
      <c r="O11" s="503" t="s">
        <v>266</v>
      </c>
      <c r="P11" s="504" t="s">
        <v>267</v>
      </c>
      <c r="Q11" s="319" t="s">
        <v>268</v>
      </c>
      <c r="R11" s="505" t="s">
        <v>236</v>
      </c>
      <c r="S11" s="506"/>
      <c r="T11" s="506"/>
      <c r="U11" s="503" t="s">
        <v>266</v>
      </c>
      <c r="V11" s="504" t="s">
        <v>267</v>
      </c>
      <c r="W11" s="319" t="s">
        <v>268</v>
      </c>
      <c r="X11" s="505" t="s">
        <v>236</v>
      </c>
      <c r="Y11" s="506"/>
      <c r="Z11" s="506"/>
      <c r="AA11" s="503" t="s">
        <v>266</v>
      </c>
      <c r="AB11" s="504" t="s">
        <v>267</v>
      </c>
      <c r="AC11" s="319" t="s">
        <v>268</v>
      </c>
      <c r="AD11" s="505" t="s">
        <v>236</v>
      </c>
      <c r="AE11" s="507" t="s">
        <v>269</v>
      </c>
    </row>
    <row r="12" spans="1:31" ht="16.2" customHeight="1">
      <c r="A12" s="51"/>
      <c r="B12" s="51"/>
      <c r="G12" s="51"/>
      <c r="H12" s="51"/>
      <c r="I12" s="18"/>
      <c r="J12" s="506"/>
      <c r="K12" s="24"/>
      <c r="L12" s="506"/>
      <c r="M12" s="506"/>
      <c r="N12" s="506"/>
      <c r="O12" s="18"/>
      <c r="P12" s="506"/>
      <c r="Q12" s="24"/>
      <c r="R12" s="506"/>
      <c r="S12" s="506"/>
      <c r="T12" s="506"/>
      <c r="U12" s="18"/>
      <c r="V12" s="506"/>
      <c r="W12" s="24"/>
      <c r="X12" s="506"/>
      <c r="Y12" s="506"/>
      <c r="Z12" s="506"/>
      <c r="AA12" s="18"/>
      <c r="AB12" s="506"/>
      <c r="AC12" s="24"/>
      <c r="AD12" s="506"/>
      <c r="AE12" s="509"/>
    </row>
    <row r="13" spans="1:31" ht="16.2" customHeight="1">
      <c r="A13" s="51">
        <v>2</v>
      </c>
      <c r="B13" s="488" t="s">
        <v>1448</v>
      </c>
      <c r="C13" s="852" t="s">
        <v>408</v>
      </c>
      <c r="D13" s="853"/>
      <c r="E13" s="853"/>
      <c r="F13" s="854"/>
      <c r="G13" s="51">
        <v>2</v>
      </c>
      <c r="H13" s="488" t="s">
        <v>1450</v>
      </c>
      <c r="I13" s="852" t="s">
        <v>410</v>
      </c>
      <c r="J13" s="853"/>
      <c r="K13" s="853"/>
      <c r="L13" s="854"/>
      <c r="M13">
        <v>2</v>
      </c>
      <c r="O13" s="540"/>
      <c r="P13" s="511"/>
      <c r="Q13" s="511"/>
      <c r="R13" s="541"/>
      <c r="S13" s="489">
        <v>2</v>
      </c>
      <c r="T13" s="489"/>
      <c r="U13" s="540"/>
      <c r="V13" s="511"/>
      <c r="W13" s="511"/>
      <c r="X13" s="541"/>
      <c r="Y13" s="489">
        <v>2</v>
      </c>
      <c r="Z13" s="489"/>
      <c r="AA13" s="540"/>
      <c r="AB13" s="511"/>
      <c r="AC13" s="511"/>
      <c r="AD13" s="541"/>
      <c r="AE13" s="513"/>
    </row>
    <row r="14" spans="1:31" ht="16.2" customHeight="1">
      <c r="A14" s="51">
        <v>3</v>
      </c>
      <c r="B14" s="51">
        <v>76875</v>
      </c>
      <c r="C14" s="450" t="s">
        <v>808</v>
      </c>
      <c r="D14" s="542">
        <v>250</v>
      </c>
      <c r="E14" s="543"/>
      <c r="F14" s="404"/>
      <c r="G14" s="51">
        <v>3</v>
      </c>
      <c r="H14" s="51">
        <v>76893</v>
      </c>
      <c r="I14" s="450" t="s">
        <v>1212</v>
      </c>
      <c r="J14" s="544">
        <v>250</v>
      </c>
      <c r="K14" s="515"/>
      <c r="L14" s="404"/>
      <c r="M14" s="150">
        <v>3</v>
      </c>
      <c r="N14" s="337"/>
      <c r="O14" s="545"/>
      <c r="P14" s="214"/>
      <c r="Q14" s="515"/>
      <c r="R14" s="147"/>
      <c r="S14" s="247">
        <v>3</v>
      </c>
      <c r="T14" s="250"/>
      <c r="U14" s="545"/>
      <c r="V14" s="214"/>
      <c r="W14" s="515"/>
      <c r="X14" s="163"/>
      <c r="Y14" s="274">
        <v>3</v>
      </c>
      <c r="Z14" s="274"/>
      <c r="AA14" s="545"/>
      <c r="AB14" s="214"/>
      <c r="AC14" s="131"/>
      <c r="AD14" s="262"/>
      <c r="AE14" s="516"/>
    </row>
    <row r="15" spans="1:31" ht="16.2" customHeight="1">
      <c r="A15" s="51">
        <v>3</v>
      </c>
      <c r="B15" s="51">
        <v>76877</v>
      </c>
      <c r="C15" s="491" t="s">
        <v>809</v>
      </c>
      <c r="D15" s="353">
        <v>250</v>
      </c>
      <c r="E15" s="261"/>
      <c r="F15" s="405"/>
      <c r="G15" s="51">
        <v>3</v>
      </c>
      <c r="H15" s="51"/>
      <c r="I15" s="450"/>
      <c r="J15" s="544"/>
      <c r="K15" s="515"/>
      <c r="L15" s="405"/>
      <c r="M15" s="150">
        <v>4</v>
      </c>
      <c r="N15" s="337"/>
      <c r="O15" s="545"/>
      <c r="P15" s="546"/>
      <c r="Q15" s="515"/>
      <c r="R15" s="262"/>
      <c r="S15" s="547">
        <v>4</v>
      </c>
      <c r="T15" s="468"/>
      <c r="U15" s="545"/>
      <c r="V15" s="515"/>
      <c r="W15" s="515"/>
      <c r="X15" s="163"/>
      <c r="Y15" s="274">
        <v>4</v>
      </c>
      <c r="Z15" s="274"/>
      <c r="AA15" s="545"/>
      <c r="AB15" s="214"/>
      <c r="AC15" s="131"/>
      <c r="AD15" s="147"/>
      <c r="AE15" s="516"/>
    </row>
    <row r="16" spans="1:31" ht="16.2" customHeight="1" thickBot="1">
      <c r="A16" s="51">
        <v>3</v>
      </c>
      <c r="B16" s="51">
        <v>76879</v>
      </c>
      <c r="C16" s="491" t="s">
        <v>810</v>
      </c>
      <c r="D16" s="353">
        <v>350</v>
      </c>
      <c r="E16" s="135"/>
      <c r="F16" s="405"/>
      <c r="G16" s="51">
        <v>3</v>
      </c>
      <c r="H16" s="51"/>
      <c r="I16" s="548"/>
      <c r="J16" s="549"/>
      <c r="K16" s="549"/>
      <c r="L16" s="278"/>
      <c r="M16" s="489">
        <v>9</v>
      </c>
      <c r="N16" s="274"/>
      <c r="O16" s="545"/>
      <c r="P16" s="515"/>
      <c r="Q16" s="515"/>
      <c r="R16" s="550"/>
      <c r="S16" s="489">
        <v>9</v>
      </c>
      <c r="T16" s="489"/>
      <c r="U16" s="545"/>
      <c r="V16" s="218"/>
      <c r="W16" s="515"/>
      <c r="X16" s="183"/>
      <c r="Y16" s="471">
        <v>9</v>
      </c>
      <c r="Z16" s="471"/>
      <c r="AA16" s="545"/>
      <c r="AB16" s="214"/>
      <c r="AC16" s="131"/>
      <c r="AD16" s="147"/>
      <c r="AE16" s="516"/>
    </row>
    <row r="17" spans="1:31" ht="16.2" customHeight="1" thickTop="1" thickBot="1">
      <c r="A17" s="51">
        <v>3</v>
      </c>
      <c r="B17" s="51">
        <v>76881</v>
      </c>
      <c r="C17" s="491" t="s">
        <v>811</v>
      </c>
      <c r="D17" s="544">
        <v>250</v>
      </c>
      <c r="E17" s="135"/>
      <c r="F17" s="405"/>
      <c r="G17" s="51">
        <v>4</v>
      </c>
      <c r="H17" s="51"/>
      <c r="I17" s="551" t="s">
        <v>410</v>
      </c>
      <c r="J17" s="307">
        <f>SUM(J14:J16)</f>
        <v>250</v>
      </c>
      <c r="K17" s="552"/>
      <c r="L17" s="325">
        <f>SUM(L14:L16)</f>
        <v>0</v>
      </c>
      <c r="M17" s="490"/>
      <c r="N17" s="466"/>
      <c r="O17" s="545"/>
      <c r="P17" s="214"/>
      <c r="Q17" s="515"/>
      <c r="R17" s="147"/>
      <c r="S17" s="250"/>
      <c r="T17" s="250"/>
      <c r="U17" s="545"/>
      <c r="V17" s="515"/>
      <c r="W17" s="515"/>
      <c r="X17" s="550"/>
      <c r="Y17" s="489"/>
      <c r="Z17" s="489"/>
      <c r="AA17" s="545"/>
      <c r="AB17" s="214"/>
      <c r="AC17" s="131"/>
      <c r="AD17" s="147"/>
      <c r="AE17" s="516"/>
    </row>
    <row r="18" spans="1:31" ht="16.2" customHeight="1" thickTop="1">
      <c r="A18" s="51">
        <v>3</v>
      </c>
      <c r="B18" s="51">
        <v>76883</v>
      </c>
      <c r="C18" s="491" t="s">
        <v>1210</v>
      </c>
      <c r="D18" s="544">
        <v>400</v>
      </c>
      <c r="E18" s="131"/>
      <c r="F18" s="405"/>
      <c r="G18" s="51">
        <v>2</v>
      </c>
      <c r="H18" s="488" t="s">
        <v>1451</v>
      </c>
      <c r="I18" s="849" t="s">
        <v>411</v>
      </c>
      <c r="J18" s="860"/>
      <c r="K18" s="860"/>
      <c r="L18" s="861"/>
      <c r="M18" s="506"/>
      <c r="N18" s="506"/>
      <c r="O18" s="545"/>
      <c r="P18" s="214"/>
      <c r="Q18" s="515"/>
      <c r="R18" s="147"/>
      <c r="S18" s="250"/>
      <c r="T18" s="250"/>
      <c r="U18" s="545"/>
      <c r="V18" s="515"/>
      <c r="W18" s="515"/>
      <c r="X18" s="550"/>
      <c r="Y18" s="489"/>
      <c r="Z18" s="489"/>
      <c r="AA18" s="545"/>
      <c r="AB18" s="515"/>
      <c r="AC18" s="515"/>
      <c r="AD18" s="550"/>
      <c r="AE18" s="516"/>
    </row>
    <row r="19" spans="1:31" ht="16.2" customHeight="1">
      <c r="A19" s="51">
        <v>3</v>
      </c>
      <c r="B19" s="51">
        <v>76887</v>
      </c>
      <c r="C19" s="491" t="s">
        <v>1211</v>
      </c>
      <c r="D19" s="544">
        <v>100</v>
      </c>
      <c r="E19" s="515"/>
      <c r="F19" s="405"/>
      <c r="G19" s="51">
        <v>3</v>
      </c>
      <c r="H19" s="51">
        <v>76895</v>
      </c>
      <c r="I19" s="450" t="s">
        <v>1213</v>
      </c>
      <c r="J19" s="351">
        <v>350</v>
      </c>
      <c r="K19" s="515"/>
      <c r="L19" s="404"/>
      <c r="M19" s="337"/>
      <c r="N19" s="337"/>
      <c r="O19" s="545"/>
      <c r="P19" s="214"/>
      <c r="Q19" s="515"/>
      <c r="R19" s="147"/>
      <c r="S19" s="250"/>
      <c r="T19" s="250"/>
      <c r="U19" s="545"/>
      <c r="V19" s="515"/>
      <c r="W19" s="515"/>
      <c r="X19" s="550"/>
      <c r="Y19" s="489"/>
      <c r="Z19" s="489"/>
      <c r="AA19" s="545"/>
      <c r="AB19" s="515"/>
      <c r="AC19" s="515"/>
      <c r="AD19" s="550"/>
      <c r="AE19" s="516"/>
    </row>
    <row r="20" spans="1:31" ht="16.2" customHeight="1">
      <c r="A20" s="51">
        <v>3</v>
      </c>
      <c r="B20" s="51">
        <v>76889</v>
      </c>
      <c r="C20" s="491" t="s">
        <v>1214</v>
      </c>
      <c r="D20" s="544">
        <v>50</v>
      </c>
      <c r="E20" s="184"/>
      <c r="F20" s="405"/>
      <c r="G20" s="51">
        <v>3</v>
      </c>
      <c r="H20" s="51"/>
      <c r="I20" s="450"/>
      <c r="K20" s="131"/>
      <c r="L20" s="405"/>
      <c r="M20" s="337"/>
      <c r="N20" s="337"/>
      <c r="O20" s="545"/>
      <c r="P20" s="515"/>
      <c r="Q20" s="515"/>
      <c r="R20" s="550"/>
      <c r="S20" s="489"/>
      <c r="T20" s="489"/>
      <c r="U20" s="545"/>
      <c r="V20" s="214"/>
      <c r="W20" s="515"/>
      <c r="X20" s="147"/>
      <c r="Y20" s="250"/>
      <c r="Z20" s="250"/>
      <c r="AA20" s="545"/>
      <c r="AB20" s="214"/>
      <c r="AC20" s="131"/>
      <c r="AD20" s="147"/>
      <c r="AE20" s="516"/>
    </row>
    <row r="21" spans="1:31" ht="16.2" customHeight="1">
      <c r="A21" s="51">
        <v>3</v>
      </c>
      <c r="B21" s="51"/>
      <c r="C21" s="491"/>
      <c r="D21" s="544"/>
      <c r="E21" s="131"/>
      <c r="F21" s="405"/>
      <c r="G21" s="51">
        <v>3</v>
      </c>
      <c r="H21" s="51"/>
      <c r="I21" s="553"/>
      <c r="J21" s="218"/>
      <c r="K21" s="131"/>
      <c r="L21" s="132"/>
      <c r="M21" s="246"/>
      <c r="N21" s="246"/>
      <c r="O21" s="545"/>
      <c r="P21" s="214"/>
      <c r="Q21" s="515"/>
      <c r="R21" s="147"/>
      <c r="S21" s="250"/>
      <c r="T21" s="250"/>
      <c r="U21" s="545"/>
      <c r="V21" s="515"/>
      <c r="W21" s="515"/>
      <c r="X21" s="550"/>
      <c r="Y21" s="489"/>
      <c r="Z21" s="489"/>
      <c r="AA21" s="545"/>
      <c r="AB21" s="214"/>
      <c r="AC21" s="131"/>
      <c r="AD21" s="147"/>
      <c r="AE21" s="516"/>
    </row>
    <row r="22" spans="1:31" ht="16.2" customHeight="1">
      <c r="A22" s="51">
        <v>3</v>
      </c>
      <c r="B22" s="51"/>
      <c r="C22" s="491"/>
      <c r="D22" s="544"/>
      <c r="E22" s="131"/>
      <c r="F22" s="132"/>
      <c r="G22" s="51">
        <v>3</v>
      </c>
      <c r="H22" s="51"/>
      <c r="I22" s="554"/>
      <c r="J22" s="519"/>
      <c r="K22" s="519"/>
      <c r="L22" s="164"/>
      <c r="M22" s="274"/>
      <c r="N22" s="274"/>
      <c r="O22" s="545"/>
      <c r="P22" s="214"/>
      <c r="Q22" s="515"/>
      <c r="R22" s="147"/>
      <c r="S22" s="250"/>
      <c r="T22" s="250"/>
      <c r="U22" s="545"/>
      <c r="V22" s="515"/>
      <c r="W22" s="515"/>
      <c r="X22" s="550"/>
      <c r="Y22" s="489"/>
      <c r="Z22" s="489"/>
      <c r="AA22" s="545"/>
      <c r="AB22" s="214"/>
      <c r="AC22" s="131"/>
      <c r="AD22" s="147"/>
      <c r="AE22" s="516"/>
    </row>
    <row r="23" spans="1:31" ht="16.2" customHeight="1" thickBot="1">
      <c r="A23" s="51">
        <v>3</v>
      </c>
      <c r="B23" s="51"/>
      <c r="C23" s="553"/>
      <c r="D23" s="208"/>
      <c r="E23" s="135"/>
      <c r="F23" s="133"/>
      <c r="G23" s="51">
        <v>3</v>
      </c>
      <c r="H23" s="51"/>
      <c r="I23" s="555"/>
      <c r="J23" s="556"/>
      <c r="K23" s="556"/>
      <c r="L23" s="182"/>
      <c r="M23" s="274"/>
      <c r="N23" s="274"/>
      <c r="O23" s="545"/>
      <c r="P23" s="515"/>
      <c r="Q23" s="515"/>
      <c r="R23" s="550"/>
      <c r="S23" s="489"/>
      <c r="T23" s="489"/>
      <c r="U23" s="545"/>
      <c r="V23" s="515"/>
      <c r="W23" s="515"/>
      <c r="X23" s="550"/>
      <c r="Y23" s="489"/>
      <c r="Z23" s="489"/>
      <c r="AA23" s="545"/>
      <c r="AB23" s="214"/>
      <c r="AC23" s="131"/>
      <c r="AD23" s="262"/>
      <c r="AE23" s="516"/>
    </row>
    <row r="24" spans="1:31" ht="16.2" customHeight="1" thickTop="1" thickBot="1">
      <c r="A24" s="51">
        <v>4</v>
      </c>
      <c r="B24" s="51"/>
      <c r="C24" s="551" t="s">
        <v>325</v>
      </c>
      <c r="D24" s="557">
        <f>SUM(D14:D23)</f>
        <v>1650</v>
      </c>
      <c r="E24" s="305"/>
      <c r="F24" s="308">
        <f>SUM(F14:F23)</f>
        <v>0</v>
      </c>
      <c r="G24" s="51">
        <v>4</v>
      </c>
      <c r="H24" s="51"/>
      <c r="I24" s="551" t="s">
        <v>439</v>
      </c>
      <c r="J24" s="558">
        <f>SUM(J19:J23)</f>
        <v>350</v>
      </c>
      <c r="K24" s="559"/>
      <c r="L24" s="324">
        <f>SUM(L19:L23)</f>
        <v>0</v>
      </c>
      <c r="M24" s="189"/>
      <c r="N24" s="189"/>
      <c r="O24" s="545"/>
      <c r="P24" s="214"/>
      <c r="Q24" s="515"/>
      <c r="R24" s="147"/>
      <c r="S24" s="250"/>
      <c r="T24" s="250"/>
      <c r="U24" s="545"/>
      <c r="V24" s="214"/>
      <c r="W24" s="131"/>
      <c r="X24" s="262"/>
      <c r="Y24" s="468"/>
      <c r="Z24" s="468"/>
      <c r="AA24" s="545"/>
      <c r="AB24" s="214"/>
      <c r="AC24" s="131"/>
      <c r="AD24" s="147"/>
      <c r="AE24" s="560"/>
    </row>
    <row r="25" spans="1:31" ht="16.2" customHeight="1" thickTop="1">
      <c r="A25" s="51">
        <v>2</v>
      </c>
      <c r="B25" s="488" t="s">
        <v>1456</v>
      </c>
      <c r="C25" s="855" t="s">
        <v>409</v>
      </c>
      <c r="D25" s="856"/>
      <c r="E25" s="856"/>
      <c r="F25" s="857"/>
      <c r="G25" s="51">
        <v>9</v>
      </c>
      <c r="H25" s="51"/>
      <c r="I25" s="561"/>
      <c r="J25" s="515"/>
      <c r="K25" s="515"/>
      <c r="L25" s="550"/>
      <c r="M25" s="489"/>
      <c r="N25" s="489"/>
      <c r="O25" s="545"/>
      <c r="P25" s="214"/>
      <c r="Q25" s="515"/>
      <c r="R25" s="147"/>
      <c r="S25" s="250"/>
      <c r="T25" s="250"/>
      <c r="U25" s="545"/>
      <c r="V25" s="214"/>
      <c r="W25" s="131"/>
      <c r="X25" s="262"/>
      <c r="Y25" s="468"/>
      <c r="Z25" s="468"/>
      <c r="AA25" s="545"/>
      <c r="AB25" s="214"/>
      <c r="AC25" s="131"/>
      <c r="AD25" s="147"/>
      <c r="AE25" s="560"/>
    </row>
    <row r="26" spans="1:31" ht="16.2" customHeight="1">
      <c r="A26" s="51">
        <v>3</v>
      </c>
      <c r="B26" s="51"/>
      <c r="C26" s="450"/>
      <c r="D26" s="497"/>
      <c r="E26" s="130"/>
      <c r="F26" s="404"/>
      <c r="G26" s="51"/>
      <c r="H26" s="51"/>
      <c r="I26" s="545"/>
      <c r="J26" s="515"/>
      <c r="K26" s="515"/>
      <c r="L26" s="550"/>
      <c r="M26" s="489"/>
      <c r="N26" s="489"/>
      <c r="O26" s="545"/>
      <c r="P26" s="214"/>
      <c r="Q26" s="515"/>
      <c r="R26" s="147"/>
      <c r="S26" s="250"/>
      <c r="T26" s="250"/>
      <c r="U26" s="545"/>
      <c r="V26" s="214"/>
      <c r="W26" s="131"/>
      <c r="X26" s="262"/>
      <c r="Y26" s="468"/>
      <c r="Z26" s="468"/>
      <c r="AA26" s="545"/>
      <c r="AB26" s="214"/>
      <c r="AC26" s="131"/>
      <c r="AD26" s="147"/>
      <c r="AE26" s="560"/>
    </row>
    <row r="27" spans="1:31" ht="16.2" customHeight="1">
      <c r="A27" s="51">
        <v>3</v>
      </c>
      <c r="B27" s="51"/>
      <c r="C27" s="450"/>
      <c r="D27" s="353"/>
      <c r="E27" s="135"/>
      <c r="F27" s="405"/>
      <c r="G27" s="51"/>
      <c r="H27" s="51"/>
      <c r="I27" s="545"/>
      <c r="J27" s="515"/>
      <c r="K27" s="515"/>
      <c r="L27" s="550"/>
      <c r="M27" s="489"/>
      <c r="N27" s="489"/>
      <c r="O27" s="545"/>
      <c r="P27" s="214"/>
      <c r="Q27" s="515"/>
      <c r="R27" s="147"/>
      <c r="S27" s="250"/>
      <c r="T27" s="250"/>
      <c r="U27" s="545"/>
      <c r="V27" s="515"/>
      <c r="W27" s="515"/>
      <c r="X27" s="550"/>
      <c r="Y27" s="489"/>
      <c r="Z27" s="489"/>
      <c r="AA27" s="545"/>
      <c r="AB27" s="515"/>
      <c r="AC27" s="515"/>
      <c r="AD27" s="550"/>
      <c r="AE27" s="560"/>
    </row>
    <row r="28" spans="1:31" ht="16.2" customHeight="1" thickBot="1">
      <c r="A28" s="51">
        <v>3</v>
      </c>
      <c r="B28" s="51"/>
      <c r="C28" s="554"/>
      <c r="D28" s="208"/>
      <c r="E28" s="135"/>
      <c r="F28" s="164"/>
      <c r="G28" s="51"/>
      <c r="H28" s="51"/>
      <c r="I28" s="554"/>
      <c r="J28" s="519"/>
      <c r="K28" s="519"/>
      <c r="L28" s="562"/>
      <c r="M28" s="489"/>
      <c r="N28" s="489"/>
      <c r="O28" s="554"/>
      <c r="P28" s="563"/>
      <c r="Q28" s="519"/>
      <c r="R28" s="263"/>
      <c r="S28" s="250"/>
      <c r="T28" s="250"/>
      <c r="U28" s="554"/>
      <c r="V28" s="519"/>
      <c r="W28" s="519"/>
      <c r="X28" s="562"/>
      <c r="Y28" s="489"/>
      <c r="Z28" s="489"/>
      <c r="AA28" s="554"/>
      <c r="AB28" s="519"/>
      <c r="AC28" s="519"/>
      <c r="AD28" s="550"/>
      <c r="AE28" s="560"/>
    </row>
    <row r="29" spans="1:31" ht="16.2" customHeight="1" thickTop="1" thickBot="1">
      <c r="A29" s="51">
        <v>4</v>
      </c>
      <c r="B29" s="51"/>
      <c r="C29" s="551" t="s">
        <v>409</v>
      </c>
      <c r="D29" s="301">
        <f>SUM(D26:D28)</f>
        <v>0</v>
      </c>
      <c r="E29" s="564"/>
      <c r="F29" s="308">
        <f>SUM(F26:F28)</f>
        <v>0</v>
      </c>
      <c r="G29" s="51"/>
      <c r="H29" s="51"/>
      <c r="I29" s="565"/>
      <c r="J29" s="566"/>
      <c r="K29" s="566"/>
      <c r="L29" s="567"/>
      <c r="M29" s="568"/>
      <c r="N29" s="489"/>
      <c r="O29" s="565"/>
      <c r="P29" s="566"/>
      <c r="Q29" s="566"/>
      <c r="R29" s="567"/>
      <c r="S29" s="489"/>
      <c r="T29" s="489"/>
      <c r="U29" s="565"/>
      <c r="V29" s="569"/>
      <c r="W29" s="276"/>
      <c r="X29" s="470"/>
      <c r="Y29" s="468"/>
      <c r="Z29" s="468"/>
      <c r="AA29" s="565"/>
      <c r="AB29" s="569"/>
      <c r="AC29" s="276"/>
      <c r="AD29" s="472"/>
      <c r="AE29" s="516"/>
    </row>
    <row r="30" spans="1:31" ht="16.2" customHeight="1" thickTop="1">
      <c r="A30" s="51">
        <v>9</v>
      </c>
      <c r="B30" s="51"/>
      <c r="G30" s="51"/>
      <c r="H30" s="51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224"/>
      <c r="V30" s="489"/>
      <c r="W30" s="489"/>
      <c r="X30" s="489"/>
      <c r="Y30" s="489"/>
      <c r="Z30" s="489"/>
      <c r="AA30" s="224"/>
      <c r="AB30" s="489"/>
      <c r="AC30" s="489"/>
      <c r="AD30" s="527" t="s">
        <v>1131</v>
      </c>
      <c r="AE30" s="570">
        <f>D24+D29+J17+J24</f>
        <v>2250</v>
      </c>
    </row>
    <row r="31" spans="1:31" ht="16.2" customHeight="1">
      <c r="I31" s="489"/>
      <c r="J31" s="489"/>
      <c r="K31" s="489"/>
      <c r="L31" s="489"/>
      <c r="M31" s="489"/>
      <c r="N31" s="489"/>
      <c r="O31" s="571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489"/>
      <c r="AA31" s="489"/>
      <c r="AB31" s="489"/>
      <c r="AC31" s="489"/>
      <c r="AD31" s="527" t="s">
        <v>1132</v>
      </c>
      <c r="AE31" s="93">
        <f>F24+F29+L17+L24</f>
        <v>0</v>
      </c>
    </row>
    <row r="32" spans="1:31" ht="16.2" customHeight="1">
      <c r="O32" s="571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</row>
    <row r="33" spans="3:31" ht="16.2" customHeight="1">
      <c r="O33" s="571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</row>
    <row r="34" spans="3:31" ht="16.2" customHeight="1">
      <c r="O34" s="571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</row>
    <row r="35" spans="3:31" ht="16.2" customHeight="1">
      <c r="C35" s="489"/>
      <c r="D35" s="489"/>
      <c r="E35" s="489"/>
      <c r="F35" s="489"/>
      <c r="G35" s="489"/>
      <c r="H35" s="489"/>
      <c r="O35" s="571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</row>
    <row r="36" spans="3:31" ht="16.2" customHeight="1">
      <c r="C36" s="489"/>
      <c r="D36" s="489"/>
      <c r="E36" s="489"/>
      <c r="F36" s="489"/>
      <c r="G36" s="489"/>
      <c r="H36" s="489"/>
      <c r="O36" s="571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</row>
    <row r="37" spans="3:31" ht="16.2" customHeight="1"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571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</row>
    <row r="38" spans="3:31" ht="16.2" customHeight="1"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571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</row>
    <row r="39" spans="3:31" ht="16.2" customHeight="1"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571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</row>
    <row r="40" spans="3:31" ht="16.2" customHeight="1"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571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</row>
    <row r="41" spans="3:31" ht="16.2" customHeight="1"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571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</row>
    <row r="42" spans="3:31" ht="16.2" customHeight="1"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571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</row>
    <row r="43" spans="3:31" ht="16.2" customHeight="1"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571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</row>
    <row r="44" spans="3:31" ht="16.2" customHeight="1"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571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</row>
    <row r="45" spans="3:31" ht="16.2" customHeight="1"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571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</row>
    <row r="46" spans="3:31" ht="16.2" customHeight="1"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571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</row>
    <row r="47" spans="3:31" ht="16.2" customHeight="1"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571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3:31" ht="16.2" customHeight="1"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571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3:31" ht="16.2" customHeight="1"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571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3:31" ht="16.2" customHeight="1"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571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3:31" ht="16.2" customHeight="1"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571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3:31" ht="16.2" customHeight="1"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571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3:31" ht="16.2" customHeight="1"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571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3:31" ht="16.2" customHeight="1"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571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</row>
    <row r="55" spans="3:31" ht="16.2" customHeight="1"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571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</row>
    <row r="56" spans="3:31" ht="16.2" customHeight="1"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571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</row>
    <row r="57" spans="3:31" ht="16.2" customHeight="1"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571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</row>
    <row r="58" spans="3:31" ht="16.2" customHeight="1"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571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</row>
    <row r="59" spans="3:31" ht="16.2" customHeight="1"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571"/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</row>
    <row r="60" spans="3:31" ht="16.2" customHeight="1"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571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</row>
    <row r="61" spans="3:31" ht="16.2" customHeight="1"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571"/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</row>
    <row r="62" spans="3:31" ht="16.2" customHeight="1"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571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</row>
    <row r="63" spans="3:31" ht="16.2" customHeight="1"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</row>
    <row r="64" spans="3:31" ht="16.2" customHeight="1"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</row>
    <row r="65" spans="3:31" ht="16.2" customHeight="1"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</row>
    <row r="66" spans="3:31" ht="16.2" customHeight="1"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</row>
    <row r="67" spans="3:31" ht="16.2" customHeight="1"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</row>
    <row r="68" spans="3:31" ht="16.2" customHeight="1"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</row>
    <row r="69" spans="3:31" ht="16.2" customHeight="1"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</row>
    <row r="70" spans="3:31" ht="16.2" customHeight="1"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</row>
    <row r="71" spans="3:31" ht="16.2" customHeight="1"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489"/>
      <c r="AE71" s="489"/>
    </row>
    <row r="72" spans="3:31" ht="16.2" customHeight="1"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3:31" ht="16.2" customHeight="1"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</row>
    <row r="74" spans="3:31" ht="16.2" customHeight="1"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</row>
    <row r="75" spans="3:31" ht="16.2" customHeight="1"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</row>
    <row r="76" spans="3:31" ht="16.2" customHeight="1"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</row>
    <row r="77" spans="3:31" ht="16.2" customHeight="1"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</row>
    <row r="78" spans="3:31" ht="16.2" customHeight="1"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</row>
    <row r="79" spans="3:31" ht="16.2" customHeight="1"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</row>
    <row r="80" spans="3:31" ht="16.2" customHeight="1"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</row>
    <row r="81" spans="3:31" ht="16.2" customHeight="1"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</row>
    <row r="82" spans="3:31" ht="16.2" customHeight="1"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</row>
    <row r="83" spans="3:31" ht="16.2" customHeight="1"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</row>
    <row r="84" spans="3:31" ht="16.2" customHeight="1"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89"/>
    </row>
    <row r="85" spans="3:31" ht="16.2" customHeight="1"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</row>
    <row r="86" spans="3:31" ht="16.2" customHeight="1"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  <c r="V86" s="489"/>
      <c r="W86" s="489"/>
      <c r="X86" s="489"/>
      <c r="Y86" s="489"/>
      <c r="Z86" s="489"/>
      <c r="AA86" s="489"/>
      <c r="AB86" s="489"/>
      <c r="AC86" s="489"/>
      <c r="AD86" s="489"/>
      <c r="AE86" s="489"/>
    </row>
    <row r="87" spans="3:31" ht="16.2" customHeight="1">
      <c r="C87" s="489"/>
      <c r="D87" s="489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</row>
    <row r="88" spans="3:31" ht="16.2" customHeight="1"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</row>
    <row r="89" spans="3:31" ht="16.2" customHeight="1"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</row>
    <row r="90" spans="3:31" ht="16.2" customHeight="1"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89"/>
    </row>
    <row r="91" spans="3:31" ht="16.2" customHeight="1"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</row>
    <row r="92" spans="3:31" ht="16.2" customHeight="1"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489"/>
      <c r="AD92" s="489"/>
      <c r="AE92" s="489"/>
    </row>
    <row r="93" spans="3:31" ht="16.2" customHeight="1"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  <c r="Q93" s="489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89"/>
      <c r="AC93" s="489"/>
      <c r="AD93" s="489"/>
      <c r="AE93" s="489"/>
    </row>
    <row r="94" spans="3:31" ht="16.2" customHeight="1"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89"/>
      <c r="O94" s="489"/>
      <c r="P94" s="489"/>
      <c r="Q94" s="489"/>
      <c r="R94" s="489"/>
      <c r="S94" s="489"/>
      <c r="T94" s="489"/>
      <c r="U94" s="489"/>
      <c r="V94" s="489"/>
      <c r="W94" s="489"/>
      <c r="X94" s="489"/>
      <c r="Y94" s="489"/>
      <c r="Z94" s="489"/>
      <c r="AA94" s="489"/>
      <c r="AB94" s="489"/>
      <c r="AC94" s="489"/>
      <c r="AD94" s="489"/>
      <c r="AE94" s="489"/>
    </row>
    <row r="95" spans="3:31" ht="16.2" customHeight="1"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</row>
    <row r="96" spans="3:31" ht="16.2" customHeight="1">
      <c r="C96" s="489"/>
      <c r="D96" s="489"/>
      <c r="E96" s="489"/>
      <c r="F96" s="489"/>
      <c r="G96" s="489"/>
      <c r="H96" s="489"/>
      <c r="I96" s="489"/>
      <c r="J96" s="489"/>
      <c r="K96" s="489"/>
      <c r="L96" s="489"/>
      <c r="M96" s="489"/>
      <c r="N96" s="489"/>
      <c r="O96" s="489"/>
      <c r="P96" s="489"/>
      <c r="Q96" s="489"/>
      <c r="R96" s="489"/>
      <c r="S96" s="489"/>
      <c r="T96" s="489"/>
      <c r="U96" s="489"/>
      <c r="V96" s="489"/>
      <c r="W96" s="489"/>
      <c r="X96" s="489"/>
      <c r="Y96" s="489"/>
      <c r="Z96" s="489"/>
      <c r="AA96" s="489"/>
      <c r="AB96" s="489"/>
      <c r="AC96" s="489"/>
      <c r="AD96" s="489"/>
      <c r="AE96" s="489"/>
    </row>
    <row r="97" spans="3:31" ht="16.2" customHeight="1"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V97" s="489"/>
      <c r="W97" s="489"/>
      <c r="X97" s="489"/>
      <c r="Y97" s="489"/>
      <c r="Z97" s="489"/>
      <c r="AA97" s="489"/>
      <c r="AB97" s="489"/>
      <c r="AC97" s="489"/>
      <c r="AD97" s="489"/>
      <c r="AE97" s="489"/>
    </row>
    <row r="98" spans="3:31" ht="16.2" customHeight="1">
      <c r="C98" s="489"/>
      <c r="D98" s="489"/>
      <c r="E98" s="489"/>
      <c r="F98" s="489"/>
      <c r="G98" s="489"/>
      <c r="H98" s="489"/>
      <c r="I98" s="489"/>
      <c r="J98" s="489"/>
      <c r="K98" s="489"/>
      <c r="L98" s="489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</row>
    <row r="99" spans="3:31" ht="16.2" customHeight="1"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</row>
    <row r="100" spans="3:31" ht="16.2" customHeight="1"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89"/>
      <c r="AC100" s="489"/>
      <c r="AD100" s="489"/>
      <c r="AE100" s="489"/>
    </row>
    <row r="101" spans="3:31" ht="16.2" customHeight="1"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89"/>
      <c r="AE101" s="489"/>
    </row>
    <row r="102" spans="3:31" ht="16.2" customHeight="1"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</row>
    <row r="103" spans="3:31" ht="16.2" customHeight="1">
      <c r="C103" s="489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</row>
    <row r="104" spans="3:31" ht="16.2" customHeight="1"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</row>
    <row r="105" spans="3:31" ht="16.2" customHeight="1"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89"/>
      <c r="AB105" s="489"/>
      <c r="AC105" s="489"/>
      <c r="AD105" s="489"/>
      <c r="AE105" s="489"/>
    </row>
    <row r="106" spans="3:31" ht="16.2" customHeight="1"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89"/>
      <c r="V106" s="489"/>
      <c r="W106" s="489"/>
      <c r="X106" s="489"/>
      <c r="Y106" s="489"/>
      <c r="Z106" s="489"/>
      <c r="AA106" s="489"/>
      <c r="AB106" s="489"/>
      <c r="AC106" s="489"/>
      <c r="AD106" s="489"/>
      <c r="AE106" s="489"/>
    </row>
    <row r="107" spans="3:31" ht="16.2" customHeight="1"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</row>
    <row r="108" spans="3:31" ht="16.2" customHeight="1"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  <c r="AE108" s="489"/>
    </row>
  </sheetData>
  <sheetProtection formatCells="0"/>
  <mergeCells count="18">
    <mergeCell ref="C13:F13"/>
    <mergeCell ref="C2:F3"/>
    <mergeCell ref="D5:L6"/>
    <mergeCell ref="C25:F25"/>
    <mergeCell ref="D7:L8"/>
    <mergeCell ref="I10:L10"/>
    <mergeCell ref="I18:L18"/>
    <mergeCell ref="C10:F10"/>
    <mergeCell ref="I13:L13"/>
    <mergeCell ref="AA10:AD10"/>
    <mergeCell ref="W5:X5"/>
    <mergeCell ref="W7:X7"/>
    <mergeCell ref="AA5:AC6"/>
    <mergeCell ref="AA7:AE8"/>
    <mergeCell ref="U10:X10"/>
    <mergeCell ref="P5:V6"/>
    <mergeCell ref="P7:Q8"/>
    <mergeCell ref="O10:R10"/>
  </mergeCells>
  <phoneticPr fontId="2"/>
  <conditionalFormatting sqref="F14:F21 F26 L14:N15 L19:N20">
    <cfRule type="cellIs" dxfId="0" priority="1" operator="greaterThan">
      <formula>D14</formula>
    </cfRule>
  </conditionalFormatting>
  <hyperlinks>
    <hyperlink ref="C2:F3" location="提案表紙!A1" display="大阪府折込資料表" xr:uid="{00000000-0004-0000-25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 xml:space="preserve">&amp;RP-34/34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413</vt:i4>
      </vt:variant>
    </vt:vector>
  </HeadingPairs>
  <TitlesOfParts>
    <vt:vector size="450" baseType="lpstr">
      <vt:lpstr>【　新聞折込広告基準　】</vt:lpstr>
      <vt:lpstr>エリア別部数</vt:lpstr>
      <vt:lpstr>提案表紙</vt:lpstr>
      <vt:lpstr>中央区・西区</vt:lpstr>
      <vt:lpstr>西淀川・淀川・東淀川</vt:lpstr>
      <vt:lpstr>北区・福島区</vt:lpstr>
      <vt:lpstr>都島区・旭区</vt:lpstr>
      <vt:lpstr>此花区・港区・大正区</vt:lpstr>
      <vt:lpstr>浪速区・阿倍野区・西成区</vt:lpstr>
      <vt:lpstr>天王寺・生野区・東成区</vt:lpstr>
      <vt:lpstr>城東区・鶴見区</vt:lpstr>
      <vt:lpstr>住吉区・東住吉区</vt:lpstr>
      <vt:lpstr>住之江区・平野区</vt:lpstr>
      <vt:lpstr>豊中市</vt:lpstr>
      <vt:lpstr>豊能郡・池田市・箕面市</vt:lpstr>
      <vt:lpstr>吹田市・茨木市</vt:lpstr>
      <vt:lpstr>高槻市・三島郡・摂津市</vt:lpstr>
      <vt:lpstr>枚方市</vt:lpstr>
      <vt:lpstr>寝屋川市・門真市</vt:lpstr>
      <vt:lpstr>守口市・交野市・四条畷市・大東市</vt:lpstr>
      <vt:lpstr>東大阪市</vt:lpstr>
      <vt:lpstr>八尾市・柏原市</vt:lpstr>
      <vt:lpstr>松原市・羽曳野市・藤井寺市</vt:lpstr>
      <vt:lpstr>富田林市・河内長野市・南河内郡・大阪狭山市</vt:lpstr>
      <vt:lpstr>堺区・中区</vt:lpstr>
      <vt:lpstr>東区・西区</vt:lpstr>
      <vt:lpstr>南区・北区・美原区</vt:lpstr>
      <vt:lpstr>泉大津市・高石市・泉北郡</vt:lpstr>
      <vt:lpstr>岸和田市・貝塚市</vt:lpstr>
      <vt:lpstr>泉佐野市・和泉市</vt:lpstr>
      <vt:lpstr>泉南市・阪南市・泉南郡</vt:lpstr>
      <vt:lpstr>日経(1)</vt:lpstr>
      <vt:lpstr>日経(2)</vt:lpstr>
      <vt:lpstr>日経(3)</vt:lpstr>
      <vt:lpstr>日経(4) </vt:lpstr>
      <vt:lpstr>日経(5) </vt:lpstr>
      <vt:lpstr>日経(6)</vt:lpstr>
      <vt:lpstr>A茨木市折込部数</vt:lpstr>
      <vt:lpstr>A羽曳野市折込部数</vt:lpstr>
      <vt:lpstr>A河内永野市折込部数</vt:lpstr>
      <vt:lpstr>A貝塚市折込部数</vt:lpstr>
      <vt:lpstr>A岸和田市折込部数</vt:lpstr>
      <vt:lpstr>A交野市折込部数</vt:lpstr>
      <vt:lpstr>A高石市折込部数</vt:lpstr>
      <vt:lpstr>A高槻市折込部数</vt:lpstr>
      <vt:lpstr>A阪南市折込部数</vt:lpstr>
      <vt:lpstr>A堺区折込部数</vt:lpstr>
      <vt:lpstr>A三島郡折込部数</vt:lpstr>
      <vt:lpstr>A四条畷市折込部数</vt:lpstr>
      <vt:lpstr>A守口市折込部数</vt:lpstr>
      <vt:lpstr>A松原市折込部数</vt:lpstr>
      <vt:lpstr>A寝屋川市折込部数</vt:lpstr>
      <vt:lpstr>A吹田市折込部数</vt:lpstr>
      <vt:lpstr>A西区折込部数</vt:lpstr>
      <vt:lpstr>A摂津市折込部数</vt:lpstr>
      <vt:lpstr>A泉佐野市折込部数</vt:lpstr>
      <vt:lpstr>A泉大津市折込部数</vt:lpstr>
      <vt:lpstr>A泉南郡折込部数</vt:lpstr>
      <vt:lpstr>A泉南市折込部数</vt:lpstr>
      <vt:lpstr>A泉北郡折込部数</vt:lpstr>
      <vt:lpstr>A大阪狭山市折込部数</vt:lpstr>
      <vt:lpstr>A大阪市阿倍野区折込部数</vt:lpstr>
      <vt:lpstr>A大阪市旭区折込部数</vt:lpstr>
      <vt:lpstr>A大阪市港区折込部数</vt:lpstr>
      <vt:lpstr>A大阪市此花区折込部数</vt:lpstr>
      <vt:lpstr>A大阪市住吉区折込部数</vt:lpstr>
      <vt:lpstr>A大阪市住之江区折込部数</vt:lpstr>
      <vt:lpstr>A大阪市城東区折込部数</vt:lpstr>
      <vt:lpstr>A大阪市生野区折込部数</vt:lpstr>
      <vt:lpstr>A大阪市西区折込部数</vt:lpstr>
      <vt:lpstr>A大阪市西成区折込部数</vt:lpstr>
      <vt:lpstr>A大阪市西淀川区折込部数</vt:lpstr>
      <vt:lpstr>A大阪市大正区折込部数</vt:lpstr>
      <vt:lpstr>A大阪市中央区折込部数</vt:lpstr>
      <vt:lpstr>A大阪市鶴見区折込部数</vt:lpstr>
      <vt:lpstr>A大阪市天王寺区折込部数</vt:lpstr>
      <vt:lpstr>A大阪市都島区折込部数</vt:lpstr>
      <vt:lpstr>A大阪市東住吉区折込部数</vt:lpstr>
      <vt:lpstr>A大阪市東成区折込部数</vt:lpstr>
      <vt:lpstr>A大阪市東淀川区折込部数</vt:lpstr>
      <vt:lpstr>A大阪市福島区折込部数</vt:lpstr>
      <vt:lpstr>A大阪市平野区折込部数</vt:lpstr>
      <vt:lpstr>A大阪市豊中市折込部数</vt:lpstr>
      <vt:lpstr>A大阪市北区折込部数</vt:lpstr>
      <vt:lpstr>A大阪市淀川区折込部数</vt:lpstr>
      <vt:lpstr>A大阪市浪速区折込部数</vt:lpstr>
      <vt:lpstr>A大東市折込部数</vt:lpstr>
      <vt:lpstr>A池田市折込部数</vt:lpstr>
      <vt:lpstr>A中区折込部数</vt:lpstr>
      <vt:lpstr>A東区折込部数</vt:lpstr>
      <vt:lpstr>A東大阪市折込部数</vt:lpstr>
      <vt:lpstr>A藤井寺市折込部数</vt:lpstr>
      <vt:lpstr>A南河内郡折込部数</vt:lpstr>
      <vt:lpstr>A南区折込部数</vt:lpstr>
      <vt:lpstr>A柏原市折込部数</vt:lpstr>
      <vt:lpstr>A八尾市折込部数</vt:lpstr>
      <vt:lpstr>A美原区折込部数</vt:lpstr>
      <vt:lpstr>A富田林市折込部数</vt:lpstr>
      <vt:lpstr>A豊能郡折込部数</vt:lpstr>
      <vt:lpstr>A北区折込部数</vt:lpstr>
      <vt:lpstr>A枚方市折込部数</vt:lpstr>
      <vt:lpstr>A箕面市折込部数</vt:lpstr>
      <vt:lpstr>A門真市折込部数</vt:lpstr>
      <vt:lpstr>A和泉市折込部数</vt:lpstr>
      <vt:lpstr>G豊能郡折込部数</vt:lpstr>
      <vt:lpstr>G和泉市折込部数</vt:lpstr>
      <vt:lpstr>M茨木市折込部数</vt:lpstr>
      <vt:lpstr>M羽曳野市折込部数</vt:lpstr>
      <vt:lpstr>M河内長野市折込部数</vt:lpstr>
      <vt:lpstr>M貝塚市折込部数</vt:lpstr>
      <vt:lpstr>M岸和田市折込部数</vt:lpstr>
      <vt:lpstr>M交野市折込部数</vt:lpstr>
      <vt:lpstr>M高石市折込部数</vt:lpstr>
      <vt:lpstr>M高槻市折込部数</vt:lpstr>
      <vt:lpstr>M阪南市折込部数</vt:lpstr>
      <vt:lpstr>M堺区折込部数</vt:lpstr>
      <vt:lpstr>M三島郡折込部数</vt:lpstr>
      <vt:lpstr>M四条畷市折込部数</vt:lpstr>
      <vt:lpstr>M守口市折込部数</vt:lpstr>
      <vt:lpstr>M松原市折込部数</vt:lpstr>
      <vt:lpstr>M寝屋川市折込部数</vt:lpstr>
      <vt:lpstr>M吹田市折込部数</vt:lpstr>
      <vt:lpstr>M西区折込部数</vt:lpstr>
      <vt:lpstr>M摂津市折込部数</vt:lpstr>
      <vt:lpstr>M泉佐野市折込部数</vt:lpstr>
      <vt:lpstr>M泉大津市折込部数</vt:lpstr>
      <vt:lpstr>M泉南郡折込部数</vt:lpstr>
      <vt:lpstr>M泉南市折込部数</vt:lpstr>
      <vt:lpstr>M泉北郡折込部数</vt:lpstr>
      <vt:lpstr>M大阪狭山市折込部数</vt:lpstr>
      <vt:lpstr>M大阪市阿倍野区折込部数</vt:lpstr>
      <vt:lpstr>M大阪市旭区折込部数</vt:lpstr>
      <vt:lpstr>M大阪市港区折込部数</vt:lpstr>
      <vt:lpstr>M大阪市此花区折込部数</vt:lpstr>
      <vt:lpstr>M大阪市住吉区折込部数</vt:lpstr>
      <vt:lpstr>M大阪市住之江区折込部数</vt:lpstr>
      <vt:lpstr>M大阪市城東区折込部数</vt:lpstr>
      <vt:lpstr>M大阪市生野区折込部数</vt:lpstr>
      <vt:lpstr>M大阪市西区折込部数</vt:lpstr>
      <vt:lpstr>M大阪市西成区折込部数</vt:lpstr>
      <vt:lpstr>M大阪市西淀川区折込部数</vt:lpstr>
      <vt:lpstr>M大阪市大正区折込部数</vt:lpstr>
      <vt:lpstr>M大阪市中央区折込部数</vt:lpstr>
      <vt:lpstr>M大阪市鶴見区折込部数</vt:lpstr>
      <vt:lpstr>M大阪市天王寺区折込部数</vt:lpstr>
      <vt:lpstr>M大阪市都島区折込部数</vt:lpstr>
      <vt:lpstr>M大阪市東住吉区折込部数</vt:lpstr>
      <vt:lpstr>M大阪市東成区折込部数</vt:lpstr>
      <vt:lpstr>M大阪市東淀川区折込部数</vt:lpstr>
      <vt:lpstr>M大阪市福島区折込部数</vt:lpstr>
      <vt:lpstr>M大阪市平野区折込部数</vt:lpstr>
      <vt:lpstr>M大阪市豊中市折込部数</vt:lpstr>
      <vt:lpstr>M大阪市北区折込部数</vt:lpstr>
      <vt:lpstr>M大阪市淀川区折込部数</vt:lpstr>
      <vt:lpstr>M大阪市浪速区折込部数</vt:lpstr>
      <vt:lpstr>M大東市折込部数</vt:lpstr>
      <vt:lpstr>M池田市折込部数</vt:lpstr>
      <vt:lpstr>M中区折込部数</vt:lpstr>
      <vt:lpstr>M東区折込部数</vt:lpstr>
      <vt:lpstr>M東大阪市折込部数</vt:lpstr>
      <vt:lpstr>M藤井寺市折込部数</vt:lpstr>
      <vt:lpstr>M南河内郡折込部数</vt:lpstr>
      <vt:lpstr>M南区折込部数</vt:lpstr>
      <vt:lpstr>M柏原市折込部数</vt:lpstr>
      <vt:lpstr>M八尾市折込部数</vt:lpstr>
      <vt:lpstr>M美原区折込部数</vt:lpstr>
      <vt:lpstr>M富田林市折込部数</vt:lpstr>
      <vt:lpstr>M豊能郡折込部数</vt:lpstr>
      <vt:lpstr>M北区折込部数</vt:lpstr>
      <vt:lpstr>M枚方市折込部数</vt:lpstr>
      <vt:lpstr>M箕面市折込部数</vt:lpstr>
      <vt:lpstr>M門真市折込部数</vt:lpstr>
      <vt:lpstr>M和泉市折込部数</vt:lpstr>
      <vt:lpstr>エリア別部数!Print_Area</vt:lpstr>
      <vt:lpstr>住吉区・東住吉区!Print_Area</vt:lpstr>
      <vt:lpstr>城東区・鶴見区!Print_Area</vt:lpstr>
      <vt:lpstr>吹田市・茨木市!Print_Area</vt:lpstr>
      <vt:lpstr>提案表紙!Print_Area</vt:lpstr>
      <vt:lpstr>南区・北区・美原区!Print_Area</vt:lpstr>
      <vt:lpstr>豊中市!Print_Area</vt:lpstr>
      <vt:lpstr>エリア別部数!Print_Titles</vt:lpstr>
      <vt:lpstr>S茨木市折込部数</vt:lpstr>
      <vt:lpstr>S羽曳野市折込部数</vt:lpstr>
      <vt:lpstr>S河内長野市折込部数</vt:lpstr>
      <vt:lpstr>S貝塚市折込部数</vt:lpstr>
      <vt:lpstr>S岸和田市折込部数</vt:lpstr>
      <vt:lpstr>S交野市折込部数</vt:lpstr>
      <vt:lpstr>S高石市折込部数</vt:lpstr>
      <vt:lpstr>S高槻市折込部数</vt:lpstr>
      <vt:lpstr>S阪南市折込部数</vt:lpstr>
      <vt:lpstr>S堺区折込部数</vt:lpstr>
      <vt:lpstr>S三島郡折込部数</vt:lpstr>
      <vt:lpstr>S四条畷市折込部数</vt:lpstr>
      <vt:lpstr>S守口市折込部数</vt:lpstr>
      <vt:lpstr>S松原市折込部数</vt:lpstr>
      <vt:lpstr>S寝屋川市折込部数</vt:lpstr>
      <vt:lpstr>S吹田市折込部数</vt:lpstr>
      <vt:lpstr>S西区折込部数</vt:lpstr>
      <vt:lpstr>S摂津市折込部数</vt:lpstr>
      <vt:lpstr>S泉佐野市折込部数</vt:lpstr>
      <vt:lpstr>S泉大津市折込部数</vt:lpstr>
      <vt:lpstr>S泉南郡折込部数</vt:lpstr>
      <vt:lpstr>S泉南市折込部数</vt:lpstr>
      <vt:lpstr>S泉北郡折込部数</vt:lpstr>
      <vt:lpstr>S大阪狭山市折込部数</vt:lpstr>
      <vt:lpstr>S大阪市阿倍野区折込部数</vt:lpstr>
      <vt:lpstr>S大阪市旭区折込部数</vt:lpstr>
      <vt:lpstr>S大阪市港区折込部数</vt:lpstr>
      <vt:lpstr>S大阪市此花区折込部数</vt:lpstr>
      <vt:lpstr>S大阪市住吉区折込部数</vt:lpstr>
      <vt:lpstr>S大阪市住之江区折込部数</vt:lpstr>
      <vt:lpstr>S大阪市城東区折込部数</vt:lpstr>
      <vt:lpstr>S大阪市生野区折込部数</vt:lpstr>
      <vt:lpstr>S大阪市西区折込部数</vt:lpstr>
      <vt:lpstr>S大阪市西成区折込部数</vt:lpstr>
      <vt:lpstr>S大阪市西淀川区折込部数</vt:lpstr>
      <vt:lpstr>S大阪市大正区折込部数</vt:lpstr>
      <vt:lpstr>S大阪市中央区折込部数</vt:lpstr>
      <vt:lpstr>S大阪市鶴見区折込部数</vt:lpstr>
      <vt:lpstr>S大阪市天王寺区折込部数</vt:lpstr>
      <vt:lpstr>S大阪市都島区折込部数</vt:lpstr>
      <vt:lpstr>S大阪市東住吉区折込部数</vt:lpstr>
      <vt:lpstr>S大阪市東成区折込部数</vt:lpstr>
      <vt:lpstr>S大阪市東淀川区折込部数</vt:lpstr>
      <vt:lpstr>S大阪市福島区折込部数</vt:lpstr>
      <vt:lpstr>S大阪市平野区折込部数</vt:lpstr>
      <vt:lpstr>S大阪市豊中市折込部数</vt:lpstr>
      <vt:lpstr>S大阪市豊能郡折込部数</vt:lpstr>
      <vt:lpstr>S大阪市北区折込部数</vt:lpstr>
      <vt:lpstr>S大阪市淀川区折込部数</vt:lpstr>
      <vt:lpstr>S大阪市浪速区折込部数</vt:lpstr>
      <vt:lpstr>S大東市折込部数</vt:lpstr>
      <vt:lpstr>S池田市折込部数</vt:lpstr>
      <vt:lpstr>S中区折込部数</vt:lpstr>
      <vt:lpstr>S東区折込部数</vt:lpstr>
      <vt:lpstr>S東大阪市折込部数</vt:lpstr>
      <vt:lpstr>S藤井寺市折込部数</vt:lpstr>
      <vt:lpstr>S南河内郡折込部数</vt:lpstr>
      <vt:lpstr>S南区折込部数</vt:lpstr>
      <vt:lpstr>S柏原市折込部数</vt:lpstr>
      <vt:lpstr>S八尾市折込部数</vt:lpstr>
      <vt:lpstr>S美原区折込部数</vt:lpstr>
      <vt:lpstr>S富田林市折込部数</vt:lpstr>
      <vt:lpstr>S豊能郡折込部数</vt:lpstr>
      <vt:lpstr>S北区折込部数</vt:lpstr>
      <vt:lpstr>S枚方市折込部数</vt:lpstr>
      <vt:lpstr>S箕面市折込部数</vt:lpstr>
      <vt:lpstr>S門真市折込部数</vt:lpstr>
      <vt:lpstr>S和泉市折込部数</vt:lpstr>
      <vt:lpstr>Y茨木市折込部数</vt:lpstr>
      <vt:lpstr>Y羽曳野市折込部数</vt:lpstr>
      <vt:lpstr>Y河内長野市折込部数</vt:lpstr>
      <vt:lpstr>Y貝塚市折込部数</vt:lpstr>
      <vt:lpstr>Y岸和田市折込部数</vt:lpstr>
      <vt:lpstr>Y交野市折込部数</vt:lpstr>
      <vt:lpstr>Y高石市折込部数</vt:lpstr>
      <vt:lpstr>Y高槻市折込部数</vt:lpstr>
      <vt:lpstr>Y阪南市折込部数</vt:lpstr>
      <vt:lpstr>Y堺区折込部数</vt:lpstr>
      <vt:lpstr>Y三島郡折込部数</vt:lpstr>
      <vt:lpstr>Y四条畷市折込部数</vt:lpstr>
      <vt:lpstr>Y守口市折込部数</vt:lpstr>
      <vt:lpstr>Y松原市折込部数</vt:lpstr>
      <vt:lpstr>Y寝屋川市折込部数</vt:lpstr>
      <vt:lpstr>Y吹田市折込部数</vt:lpstr>
      <vt:lpstr>Y西区折込部数</vt:lpstr>
      <vt:lpstr>Y摂津市折込部数</vt:lpstr>
      <vt:lpstr>Y泉佐野市折込部数</vt:lpstr>
      <vt:lpstr>Y泉大津市折込部数</vt:lpstr>
      <vt:lpstr>Y泉南郡折込部数</vt:lpstr>
      <vt:lpstr>Y泉南市折込部数</vt:lpstr>
      <vt:lpstr>Y泉北郡折込部数</vt:lpstr>
      <vt:lpstr>Y大阪狭山市折込部数</vt:lpstr>
      <vt:lpstr>Y大阪市阿倍野区折込部数</vt:lpstr>
      <vt:lpstr>Y大阪市旭区折込部数</vt:lpstr>
      <vt:lpstr>Y大阪市港区折込部数</vt:lpstr>
      <vt:lpstr>Y大阪市此花区折込部数</vt:lpstr>
      <vt:lpstr>Y大阪市住吉区折込部数</vt:lpstr>
      <vt:lpstr>Y大阪市住之江区折込部数</vt:lpstr>
      <vt:lpstr>Y大阪市生野区折込部数</vt:lpstr>
      <vt:lpstr>Y大阪市西区折込部数</vt:lpstr>
      <vt:lpstr>Y大阪市西成区折込部数</vt:lpstr>
      <vt:lpstr>Y大阪市西淀川区折込部数</vt:lpstr>
      <vt:lpstr>Y大阪市大正区折込部数</vt:lpstr>
      <vt:lpstr>Y大阪市中央区折込部数</vt:lpstr>
      <vt:lpstr>Y大阪市鶴見区折込部数</vt:lpstr>
      <vt:lpstr>Y大阪市天王寺区折込部数</vt:lpstr>
      <vt:lpstr>Y大阪市都島区折込部数</vt:lpstr>
      <vt:lpstr>Y大阪市東住吉区折込部数</vt:lpstr>
      <vt:lpstr>Y大阪市東成区折込部数</vt:lpstr>
      <vt:lpstr>Y大阪市東淀川区折込部数</vt:lpstr>
      <vt:lpstr>Y大阪市福島区折込部数</vt:lpstr>
      <vt:lpstr>Y大阪市平野区折込部数</vt:lpstr>
      <vt:lpstr>Y大阪市豊中市折込部数</vt:lpstr>
      <vt:lpstr>Y大阪市北区折込部数</vt:lpstr>
      <vt:lpstr>Y大阪市淀川区折込部数</vt:lpstr>
      <vt:lpstr>Y大阪市浪速区折込部数</vt:lpstr>
      <vt:lpstr>Y大阪城東区折込部数</vt:lpstr>
      <vt:lpstr>Y大東市折込部数</vt:lpstr>
      <vt:lpstr>Y池田市折込部数</vt:lpstr>
      <vt:lpstr>Y中区折込部数</vt:lpstr>
      <vt:lpstr>Y東区折込部数</vt:lpstr>
      <vt:lpstr>Y東大阪市折込部数</vt:lpstr>
      <vt:lpstr>Y藤井寺市折込部数</vt:lpstr>
      <vt:lpstr>Y南河内郡折込部数</vt:lpstr>
      <vt:lpstr>Y南区折込部数</vt:lpstr>
      <vt:lpstr>Y柏原市折込部数</vt:lpstr>
      <vt:lpstr>Y八尾市折込部数</vt:lpstr>
      <vt:lpstr>Y美原区折込部数</vt:lpstr>
      <vt:lpstr>Y富田林市折込部数</vt:lpstr>
      <vt:lpstr>Y豊能郡折込部数</vt:lpstr>
      <vt:lpstr>Y北区折込部数</vt:lpstr>
      <vt:lpstr>Y枚方市折込部数</vt:lpstr>
      <vt:lpstr>Y箕面市折込部数</vt:lpstr>
      <vt:lpstr>Y門真市折込部数</vt:lpstr>
      <vt:lpstr>Y和泉市折込部数</vt:lpstr>
      <vt:lpstr>茨木市折込部数</vt:lpstr>
      <vt:lpstr>茨木市部数</vt:lpstr>
      <vt:lpstr>羽曳野市折込部数</vt:lpstr>
      <vt:lpstr>羽曳野市部数</vt:lpstr>
      <vt:lpstr>河内長野市折込部数</vt:lpstr>
      <vt:lpstr>河内長野部数</vt:lpstr>
      <vt:lpstr>貝塚市折込部数</vt:lpstr>
      <vt:lpstr>貝塚市部数</vt:lpstr>
      <vt:lpstr>岸和田市折込部数</vt:lpstr>
      <vt:lpstr>岸和田市部数</vt:lpstr>
      <vt:lpstr>交野市折込部数</vt:lpstr>
      <vt:lpstr>交野市部数</vt:lpstr>
      <vt:lpstr>高石市折込部数</vt:lpstr>
      <vt:lpstr>高石市部数</vt:lpstr>
      <vt:lpstr>高槻市折込部数</vt:lpstr>
      <vt:lpstr>高槻市部数</vt:lpstr>
      <vt:lpstr>阪南市折込部数</vt:lpstr>
      <vt:lpstr>阪南市部数</vt:lpstr>
      <vt:lpstr>堺区折込部数</vt:lpstr>
      <vt:lpstr>堺市部数</vt:lpstr>
      <vt:lpstr>三島郡折込部数</vt:lpstr>
      <vt:lpstr>三島郡部数</vt:lpstr>
      <vt:lpstr>四条畷市折込部数</vt:lpstr>
      <vt:lpstr>四条畷市部数</vt:lpstr>
      <vt:lpstr>守口市折込部数</vt:lpstr>
      <vt:lpstr>守口市部数</vt:lpstr>
      <vt:lpstr>松原市折込部数</vt:lpstr>
      <vt:lpstr>松原市部数</vt:lpstr>
      <vt:lpstr>寝屋川市折込部数</vt:lpstr>
      <vt:lpstr>寝屋川市部数</vt:lpstr>
      <vt:lpstr>吹田市折込部数</vt:lpstr>
      <vt:lpstr>吹田市部数</vt:lpstr>
      <vt:lpstr>西区折込部数</vt:lpstr>
      <vt:lpstr>西区部数</vt:lpstr>
      <vt:lpstr>摂津市折込部数</vt:lpstr>
      <vt:lpstr>摂津市部数</vt:lpstr>
      <vt:lpstr>泉佐野市折込部数</vt:lpstr>
      <vt:lpstr>泉佐野市部数</vt:lpstr>
      <vt:lpstr>泉大津市折込部数</vt:lpstr>
      <vt:lpstr>泉大津市部数</vt:lpstr>
      <vt:lpstr>泉南郡折込部数</vt:lpstr>
      <vt:lpstr>泉南郡部数</vt:lpstr>
      <vt:lpstr>泉南市折込部数</vt:lpstr>
      <vt:lpstr>泉南市部数</vt:lpstr>
      <vt:lpstr>泉北郡折込部数</vt:lpstr>
      <vt:lpstr>泉北郡部数</vt:lpstr>
      <vt:lpstr>大阪狭山市折込部数</vt:lpstr>
      <vt:lpstr>大阪狭山市部数</vt:lpstr>
      <vt:lpstr>大阪市阿倍野区折込部数</vt:lpstr>
      <vt:lpstr>大阪市阿倍野区部数</vt:lpstr>
      <vt:lpstr>大阪市旭区折込部数</vt:lpstr>
      <vt:lpstr>大阪市旭区部数</vt:lpstr>
      <vt:lpstr>大阪市港区折込部数</vt:lpstr>
      <vt:lpstr>大阪市港区部数</vt:lpstr>
      <vt:lpstr>大阪市此花区折込部数</vt:lpstr>
      <vt:lpstr>大阪市此花区部数</vt:lpstr>
      <vt:lpstr>大阪市住吉区折込部数</vt:lpstr>
      <vt:lpstr>大阪市住吉区部数</vt:lpstr>
      <vt:lpstr>大阪市住之江区折込部数</vt:lpstr>
      <vt:lpstr>大阪市住之江区部数</vt:lpstr>
      <vt:lpstr>大阪市城東区部数</vt:lpstr>
      <vt:lpstr>大阪市城東折込部数</vt:lpstr>
      <vt:lpstr>大阪市生野区折込部数</vt:lpstr>
      <vt:lpstr>大阪市生野区部数</vt:lpstr>
      <vt:lpstr>大阪市西区折込部数</vt:lpstr>
      <vt:lpstr>大阪市西区部数</vt:lpstr>
      <vt:lpstr>大阪市西成区折込部数</vt:lpstr>
      <vt:lpstr>大阪市西成区部数</vt:lpstr>
      <vt:lpstr>大阪市西淀川区折込部数</vt:lpstr>
      <vt:lpstr>大阪市西淀川区部数</vt:lpstr>
      <vt:lpstr>大阪市大正区折込部数</vt:lpstr>
      <vt:lpstr>大阪市大正区部数</vt:lpstr>
      <vt:lpstr>大阪市中央区折込部数</vt:lpstr>
      <vt:lpstr>大阪市中央区部数</vt:lpstr>
      <vt:lpstr>大阪市鶴見区折込部数</vt:lpstr>
      <vt:lpstr>大阪市鶴見区部数</vt:lpstr>
      <vt:lpstr>大阪市天王寺区折込部数</vt:lpstr>
      <vt:lpstr>大阪市天王寺区部数</vt:lpstr>
      <vt:lpstr>大阪市都島区折込部数</vt:lpstr>
      <vt:lpstr>大阪市都島区部数</vt:lpstr>
      <vt:lpstr>大阪市東住吉区折込部数</vt:lpstr>
      <vt:lpstr>大阪市東住吉区部数</vt:lpstr>
      <vt:lpstr>大阪市東成区折込部数</vt:lpstr>
      <vt:lpstr>大阪市東成区部数</vt:lpstr>
      <vt:lpstr>大阪市東淀川区折込部数</vt:lpstr>
      <vt:lpstr>大阪市東淀川区部数</vt:lpstr>
      <vt:lpstr>大阪市福島区折込部数</vt:lpstr>
      <vt:lpstr>大阪市福島区部数</vt:lpstr>
      <vt:lpstr>大阪市平野区折込部数</vt:lpstr>
      <vt:lpstr>大阪市平野区部数</vt:lpstr>
      <vt:lpstr>大阪市豊中市折込部数</vt:lpstr>
      <vt:lpstr>大阪市豊中市部数</vt:lpstr>
      <vt:lpstr>大阪市北区折込部数</vt:lpstr>
      <vt:lpstr>大阪市北区部数</vt:lpstr>
      <vt:lpstr>大阪市淀川区折込部数</vt:lpstr>
      <vt:lpstr>大阪市淀川区部数</vt:lpstr>
      <vt:lpstr>大阪市浪速区折込部数</vt:lpstr>
      <vt:lpstr>大阪市浪速区部数</vt:lpstr>
      <vt:lpstr>大東市折込部数</vt:lpstr>
      <vt:lpstr>大東市部数</vt:lpstr>
      <vt:lpstr>池田市折込部数</vt:lpstr>
      <vt:lpstr>池田市部数</vt:lpstr>
      <vt:lpstr>中区折込部数</vt:lpstr>
      <vt:lpstr>中区部数</vt:lpstr>
      <vt:lpstr>東区折込部数</vt:lpstr>
      <vt:lpstr>東区部数</vt:lpstr>
      <vt:lpstr>東大阪市折込部数</vt:lpstr>
      <vt:lpstr>東大阪市部数</vt:lpstr>
      <vt:lpstr>藤井寺市折込部数</vt:lpstr>
      <vt:lpstr>藤井寺市部数</vt:lpstr>
      <vt:lpstr>南河内郡折込部数</vt:lpstr>
      <vt:lpstr>南河内郡部数</vt:lpstr>
      <vt:lpstr>南区折込部数</vt:lpstr>
      <vt:lpstr>南区部数</vt:lpstr>
      <vt:lpstr>柏原市折込部数</vt:lpstr>
      <vt:lpstr>柏原市部数</vt:lpstr>
      <vt:lpstr>八尾市折込部数</vt:lpstr>
      <vt:lpstr>八尾市部数</vt:lpstr>
      <vt:lpstr>美原区折込部数</vt:lpstr>
      <vt:lpstr>美原区部数</vt:lpstr>
      <vt:lpstr>富田林市折込部数</vt:lpstr>
      <vt:lpstr>富田林市部数</vt:lpstr>
      <vt:lpstr>豊能郡折込部数</vt:lpstr>
      <vt:lpstr>豊能郡部数</vt:lpstr>
      <vt:lpstr>北区折込部数</vt:lpstr>
      <vt:lpstr>北区部数</vt:lpstr>
      <vt:lpstr>枚方市折込部数</vt:lpstr>
      <vt:lpstr>枚方市部数</vt:lpstr>
      <vt:lpstr>箕面市折込部数</vt:lpstr>
      <vt:lpstr>箕面市部数</vt:lpstr>
      <vt:lpstr>門真市折込部数</vt:lpstr>
      <vt:lpstr>門真市部数</vt:lpstr>
      <vt:lpstr>和泉市折込部数</vt:lpstr>
      <vt:lpstr>和泉市部数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神戸新聞総合折込</dc:creator>
  <cp:lastModifiedBy>KOBE011</cp:lastModifiedBy>
  <cp:lastPrinted>2025-02-20T07:49:16Z</cp:lastPrinted>
  <dcterms:created xsi:type="dcterms:W3CDTF">1998-03-02T00:38:33Z</dcterms:created>
  <dcterms:modified xsi:type="dcterms:W3CDTF">2025-02-27T01:08:19Z</dcterms:modified>
</cp:coreProperties>
</file>